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NPC\15_R BAD LOS RÍOS\2021_CONCURSO\MINISITIO\ANEXO V Programa arquitectónico\"/>
    </mc:Choice>
  </mc:AlternateContent>
  <bookViews>
    <workbookView xWindow="1140" yWindow="270" windowWidth="14505" windowHeight="10620" tabRatio="875" activeTab="5"/>
  </bookViews>
  <sheets>
    <sheet name="1. BR" sheetId="1" r:id="rId1"/>
    <sheet name="2. AR" sheetId="2" r:id="rId2"/>
    <sheet name="3. DR" sheetId="3" r:id="rId3"/>
    <sheet name="4. Oficinas" sheetId="4" r:id="rId4"/>
    <sheet name="5. Extensión y recintos comunes" sheetId="5" r:id="rId5"/>
    <sheet name="RESUMEN" sheetId="7" r:id="rId6"/>
  </sheets>
  <calcPr calcId="162913"/>
</workbook>
</file>

<file path=xl/calcChain.xml><?xml version="1.0" encoding="utf-8"?>
<calcChain xmlns="http://schemas.openxmlformats.org/spreadsheetml/2006/main">
  <c r="E51" i="1" l="1"/>
  <c r="D75" i="1" l="1"/>
  <c r="E61" i="1" l="1"/>
  <c r="E39" i="1"/>
  <c r="E21" i="4" l="1"/>
  <c r="E9" i="5"/>
  <c r="E34" i="5"/>
  <c r="E35" i="5"/>
  <c r="E36" i="5"/>
  <c r="D57" i="2"/>
  <c r="D76" i="1"/>
  <c r="E38" i="4"/>
  <c r="E31" i="2"/>
  <c r="E42" i="2"/>
  <c r="E5" i="7" s="1"/>
  <c r="E52" i="5"/>
  <c r="E33" i="5"/>
  <c r="E32" i="5"/>
  <c r="E31" i="5"/>
  <c r="C51" i="5"/>
  <c r="E51" i="5" s="1"/>
  <c r="I12" i="7" s="1"/>
  <c r="E26" i="1"/>
  <c r="E11" i="5"/>
  <c r="D56" i="5"/>
  <c r="D55" i="5"/>
  <c r="E28" i="5"/>
  <c r="D51" i="3"/>
  <c r="E44" i="4"/>
  <c r="E43" i="4"/>
  <c r="E42" i="4"/>
  <c r="D66" i="4"/>
  <c r="D67" i="4" s="1"/>
  <c r="E35" i="4"/>
  <c r="E36" i="4"/>
  <c r="E37" i="4"/>
  <c r="E29" i="4"/>
  <c r="E34" i="4"/>
  <c r="E33" i="4"/>
  <c r="E26" i="4"/>
  <c r="E28" i="4"/>
  <c r="E27" i="4"/>
  <c r="E25" i="4"/>
  <c r="E24" i="4"/>
  <c r="E11" i="4"/>
  <c r="E18" i="4"/>
  <c r="E17" i="4"/>
  <c r="E16" i="4"/>
  <c r="E10" i="4"/>
  <c r="E9" i="4"/>
  <c r="E8" i="4"/>
  <c r="E5" i="4"/>
  <c r="D7" i="7" s="1"/>
  <c r="D50" i="3"/>
  <c r="D52" i="3"/>
  <c r="E22" i="3"/>
  <c r="E21" i="3"/>
  <c r="E20" i="3"/>
  <c r="E19" i="3"/>
  <c r="E14" i="3"/>
  <c r="E10" i="3"/>
  <c r="E9" i="3"/>
  <c r="E11" i="3"/>
  <c r="E32" i="3"/>
  <c r="E28" i="3"/>
  <c r="E27" i="3"/>
  <c r="E26" i="3"/>
  <c r="E25" i="3"/>
  <c r="E24" i="3"/>
  <c r="E23" i="3"/>
  <c r="E12" i="3"/>
  <c r="E5" i="3"/>
  <c r="D58" i="2"/>
  <c r="E35" i="2"/>
  <c r="E34" i="2"/>
  <c r="E33" i="2"/>
  <c r="E32" i="2"/>
  <c r="E27" i="2"/>
  <c r="E22" i="2"/>
  <c r="E43" i="1"/>
  <c r="E16" i="2"/>
  <c r="D42" i="1"/>
  <c r="E42" i="1" s="1"/>
  <c r="E24" i="5"/>
  <c r="E25" i="5"/>
  <c r="E41" i="1"/>
  <c r="E4" i="7" s="1"/>
  <c r="E19" i="1"/>
  <c r="D59" i="2"/>
  <c r="E23" i="5"/>
  <c r="E22" i="5"/>
  <c r="E20" i="5"/>
  <c r="E19" i="5"/>
  <c r="E17" i="5"/>
  <c r="E15" i="5"/>
  <c r="E12" i="5"/>
  <c r="E10" i="5"/>
  <c r="E6" i="5"/>
  <c r="E5" i="5"/>
  <c r="D51" i="4"/>
  <c r="E6" i="4"/>
  <c r="E53" i="4" s="1"/>
  <c r="E21" i="2"/>
  <c r="E20" i="2"/>
  <c r="E17" i="2"/>
  <c r="E15" i="2"/>
  <c r="E13" i="2"/>
  <c r="E12" i="2"/>
  <c r="E11" i="2"/>
  <c r="E10" i="2"/>
  <c r="E7" i="2"/>
  <c r="E5" i="2"/>
  <c r="E62" i="1"/>
  <c r="E60" i="1"/>
  <c r="E59" i="1"/>
  <c r="E47" i="1"/>
  <c r="E46" i="1"/>
  <c r="E40" i="1"/>
  <c r="E38" i="1"/>
  <c r="E33" i="1"/>
  <c r="E31" i="1"/>
  <c r="E29" i="1"/>
  <c r="E28" i="1"/>
  <c r="E24" i="1"/>
  <c r="E22" i="1"/>
  <c r="E16" i="1"/>
  <c r="E15" i="1"/>
  <c r="E8" i="1"/>
  <c r="E73" i="1" s="1"/>
  <c r="E6" i="1"/>
  <c r="D6" i="7" l="1"/>
  <c r="E17" i="3"/>
  <c r="E8" i="2"/>
  <c r="F8" i="7"/>
  <c r="E7" i="3"/>
  <c r="E29" i="2"/>
  <c r="E48" i="2" s="1"/>
  <c r="E54" i="2"/>
  <c r="E36" i="2" s="1"/>
  <c r="E44" i="2" s="1"/>
  <c r="E49" i="2" s="1"/>
  <c r="E18" i="2"/>
  <c r="E47" i="2" s="1"/>
  <c r="E9" i="1"/>
  <c r="E66" i="1" s="1"/>
  <c r="E47" i="3"/>
  <c r="D77" i="1"/>
  <c r="E7" i="5"/>
  <c r="D8" i="7" s="1"/>
  <c r="E49" i="5"/>
  <c r="G8" i="7" s="1"/>
  <c r="E26" i="5"/>
  <c r="E43" i="5" s="1"/>
  <c r="E14" i="4"/>
  <c r="E54" i="4" s="1"/>
  <c r="E22" i="4"/>
  <c r="E55" i="4" s="1"/>
  <c r="E40" i="4"/>
  <c r="E63" i="4"/>
  <c r="E47" i="4" s="1"/>
  <c r="E57" i="4"/>
  <c r="E44" i="1"/>
  <c r="E46" i="2"/>
  <c r="D5" i="7"/>
  <c r="F5" i="7"/>
  <c r="E37" i="3"/>
  <c r="E6" i="7"/>
  <c r="E9" i="7" s="1"/>
  <c r="E31" i="4"/>
  <c r="F6" i="7"/>
  <c r="G5" i="7" l="1"/>
  <c r="G7" i="7"/>
  <c r="E36" i="3"/>
  <c r="G6" i="7"/>
  <c r="E40" i="3"/>
  <c r="T18" i="7"/>
  <c r="E42" i="5"/>
  <c r="E48" i="4"/>
  <c r="E49" i="4"/>
  <c r="E50" i="2"/>
  <c r="E51" i="4"/>
  <c r="E58" i="4" s="1"/>
  <c r="E56" i="4"/>
  <c r="T5" i="7"/>
  <c r="T7" i="7"/>
  <c r="T8" i="7"/>
  <c r="T9" i="7"/>
  <c r="T6" i="7"/>
  <c r="E42" i="3"/>
  <c r="E41" i="3"/>
  <c r="D39" i="5"/>
  <c r="G4" i="7"/>
  <c r="T4" i="7"/>
  <c r="D4" i="7"/>
  <c r="E67" i="1"/>
  <c r="G9" i="7" l="1"/>
  <c r="F7" i="7"/>
  <c r="E43" i="3"/>
  <c r="D9" i="7"/>
  <c r="E39" i="5"/>
  <c r="E40" i="5" s="1"/>
  <c r="D40" i="5"/>
  <c r="C5" i="7"/>
  <c r="E51" i="2"/>
  <c r="E53" i="2" s="1"/>
  <c r="E59" i="4"/>
  <c r="E64" i="1"/>
  <c r="R14" i="7" l="1"/>
  <c r="S18" i="7"/>
  <c r="S7" i="7"/>
  <c r="S9" i="7"/>
  <c r="S6" i="7"/>
  <c r="S8" i="7"/>
  <c r="S5" i="7"/>
  <c r="E68" i="1"/>
  <c r="F4" i="7"/>
  <c r="H5" i="7"/>
  <c r="I5" i="7" s="1"/>
  <c r="C7" i="7"/>
  <c r="E60" i="4"/>
  <c r="E62" i="4" s="1"/>
  <c r="S4" i="7"/>
  <c r="C6" i="7"/>
  <c r="E44" i="3"/>
  <c r="E46" i="3" s="1"/>
  <c r="S14" i="7" l="1"/>
  <c r="T14" i="7"/>
  <c r="U14" i="7"/>
  <c r="R16" i="7"/>
  <c r="R15" i="7"/>
  <c r="F9" i="7"/>
  <c r="E69" i="1"/>
  <c r="H6" i="7"/>
  <c r="I6" i="7" s="1"/>
  <c r="H7" i="7"/>
  <c r="I7" i="7" s="1"/>
  <c r="E44" i="5"/>
  <c r="S16" i="7" l="1"/>
  <c r="T16" i="7"/>
  <c r="U16" i="7"/>
  <c r="U15" i="7"/>
  <c r="T15" i="7"/>
  <c r="S15" i="7"/>
  <c r="U4" i="7"/>
  <c r="U18" i="7"/>
  <c r="E45" i="5"/>
  <c r="U9" i="7"/>
  <c r="U8" i="7"/>
  <c r="U6" i="7"/>
  <c r="U5" i="7"/>
  <c r="U7" i="7"/>
  <c r="E70" i="1"/>
  <c r="C4" i="7"/>
  <c r="R13" i="7" l="1"/>
  <c r="E72" i="1"/>
  <c r="H4" i="7"/>
  <c r="I4" i="7" s="1"/>
  <c r="C8" i="7"/>
  <c r="E46" i="5"/>
  <c r="C9" i="7" l="1"/>
  <c r="R9" i="7" s="1"/>
  <c r="R17" i="7"/>
  <c r="T13" i="7"/>
  <c r="S13" i="7"/>
  <c r="U13" i="7"/>
  <c r="E48" i="5"/>
  <c r="H8" i="7"/>
  <c r="I8" i="7" s="1"/>
  <c r="I9" i="7" l="1"/>
  <c r="J8" i="7"/>
  <c r="F11" i="7"/>
  <c r="R5" i="7"/>
  <c r="D11" i="7"/>
  <c r="E11" i="7"/>
  <c r="R7" i="7"/>
  <c r="H9" i="7"/>
  <c r="R8" i="7"/>
  <c r="R6" i="7"/>
  <c r="R4" i="7"/>
  <c r="C11" i="7"/>
  <c r="U17" i="7"/>
  <c r="S17" i="7"/>
  <c r="T17" i="7"/>
  <c r="R18" i="7"/>
  <c r="I13" i="7"/>
  <c r="E10" i="7"/>
  <c r="D10" i="7"/>
  <c r="F10" i="7"/>
  <c r="C10" i="7"/>
  <c r="J6" i="7" l="1"/>
  <c r="J5" i="7"/>
  <c r="J7" i="7"/>
  <c r="J10" i="7"/>
  <c r="J9" i="7"/>
  <c r="J4" i="7"/>
  <c r="H10" i="7"/>
</calcChain>
</file>

<file path=xl/sharedStrings.xml><?xml version="1.0" encoding="utf-8"?>
<sst xmlns="http://schemas.openxmlformats.org/spreadsheetml/2006/main" count="382" uniqueCount="259">
  <si>
    <t>Área</t>
  </si>
  <si>
    <t>Recintos</t>
  </si>
  <si>
    <t>Índice de carga ocupacional (m2 x persona)</t>
  </si>
  <si>
    <t>Carga de ocupación (número de personas)</t>
  </si>
  <si>
    <t>Superficie Requerida (m2)</t>
  </si>
  <si>
    <t>1.  Área de  Acceso</t>
  </si>
  <si>
    <t xml:space="preserve"> 1. Área de  Acceso</t>
  </si>
  <si>
    <t>1.Hall de Acceso</t>
  </si>
  <si>
    <t xml:space="preserve">2.Área de Looker </t>
  </si>
  <si>
    <t>3. Mesón de información</t>
  </si>
  <si>
    <t>2.  Área de Extensión</t>
  </si>
  <si>
    <t>1. Área de Extensión</t>
  </si>
  <si>
    <t>1. Auditorio</t>
  </si>
  <si>
    <t xml:space="preserve">3. Área Publico Biblioteca </t>
  </si>
  <si>
    <t>1.  Área de Préstamo</t>
  </si>
  <si>
    <t>1.Mesón de Préstamo</t>
  </si>
  <si>
    <t>2.Servicio a la Comunidad SIG (Infopanel)</t>
  </si>
  <si>
    <t xml:space="preserve">3.Catálogos </t>
  </si>
  <si>
    <t xml:space="preserve">4.Sala Audio y Video </t>
  </si>
  <si>
    <t xml:space="preserve">2. Biblioredes </t>
  </si>
  <si>
    <t xml:space="preserve">Sala Biblioredes (Laboratorio Regional) </t>
  </si>
  <si>
    <t>1.Mesón atención</t>
  </si>
  <si>
    <t xml:space="preserve">2.Área Guaguateca </t>
  </si>
  <si>
    <t>3.Área Infantil</t>
  </si>
  <si>
    <t xml:space="preserve">2.Área Usuarios </t>
  </si>
  <si>
    <t xml:space="preserve">5.  Área Novedades </t>
  </si>
  <si>
    <t xml:space="preserve">7.  Área Diarios, Revistas y Referencias  </t>
  </si>
  <si>
    <t xml:space="preserve">2.Área Usuarios  Diarios y Revistas </t>
  </si>
  <si>
    <t xml:space="preserve">3.Área Usuarios Referencia </t>
  </si>
  <si>
    <t xml:space="preserve">8. Área Literatura </t>
  </si>
  <si>
    <t>9. Área Colecciones Generales</t>
  </si>
  <si>
    <t>3. Sala  Estudio 1</t>
  </si>
  <si>
    <t>4. Sala  Estudio 2</t>
  </si>
  <si>
    <t>5. Sala  Estudio 3</t>
  </si>
  <si>
    <t>11. Área Memoria Regional</t>
  </si>
  <si>
    <t>2.Autores Locales</t>
  </si>
  <si>
    <t xml:space="preserve">12.  Área Servicios </t>
  </si>
  <si>
    <t>1. Baños para público</t>
  </si>
  <si>
    <t xml:space="preserve"> 1.  Área de Trabajo Administrativo</t>
  </si>
  <si>
    <t>4.Sala de Reuniones</t>
  </si>
  <si>
    <t>5. Kitchenette.</t>
  </si>
  <si>
    <t>2.  Área Procesos Técnicos</t>
  </si>
  <si>
    <t>1.Procesos Técnicos</t>
  </si>
  <si>
    <t>2.Servicio higiénicos</t>
  </si>
  <si>
    <t>3.   Área Depósitos</t>
  </si>
  <si>
    <t xml:space="preserve">2.Bodega Artículos </t>
  </si>
  <si>
    <t>2.Oficina Coordinador</t>
  </si>
  <si>
    <t xml:space="preserve">2.Oficina Coordinador </t>
  </si>
  <si>
    <t xml:space="preserve">3. Of profesionales Áreas </t>
  </si>
  <si>
    <t>7. Área de carga y descarga</t>
  </si>
  <si>
    <t xml:space="preserve">5. Área Servicios Internos </t>
  </si>
  <si>
    <t>1.Casino de personal</t>
  </si>
  <si>
    <t xml:space="preserve">2.Baño con ducha,  para funcionarios </t>
  </si>
  <si>
    <t>3.Lockers personal</t>
  </si>
  <si>
    <t>5.Enfermería</t>
  </si>
  <si>
    <t>4.  Área Administración</t>
  </si>
  <si>
    <t xml:space="preserve">Subtotal </t>
  </si>
  <si>
    <t>Área  Circulaciones</t>
  </si>
  <si>
    <t xml:space="preserve">35%.circulaciones </t>
  </si>
  <si>
    <t xml:space="preserve">Superficie Total </t>
  </si>
  <si>
    <t xml:space="preserve">6. Área Estacionamiento </t>
  </si>
  <si>
    <t>Estacionamientos</t>
  </si>
  <si>
    <t>Bicicletas</t>
  </si>
  <si>
    <t>Carga de Ocupación Total según O.G.U.C</t>
  </si>
  <si>
    <t xml:space="preserve">Total usuarios </t>
  </si>
  <si>
    <t xml:space="preserve">Total Funcionarios </t>
  </si>
  <si>
    <t>(Nota 3.)  La ubicación de este espacio va a depender de la propuesta arquitectónica y el estudio vial.</t>
  </si>
  <si>
    <t>PROGRAMA BASE DE BIBLIOTECA REGIONAL DE LOS RIOS</t>
  </si>
  <si>
    <t>PROGRAMA BASE DE ARCHIVO REGIONAL DE LOS RIOS</t>
  </si>
  <si>
    <t>PROGRAMA BASE DE DEPÓSITO REGIONAL DE LOS RIOS</t>
  </si>
  <si>
    <t>PROGRAMA BASE DE OFICINAS REGIONALES DE LOS RIOS</t>
  </si>
  <si>
    <t>3.Depósito Legal</t>
  </si>
  <si>
    <t>2.Oficina Dirección</t>
  </si>
  <si>
    <t>4. sala de lactancia</t>
  </si>
  <si>
    <t>5.Baños para niños y mudadores</t>
  </si>
  <si>
    <t>3. Área Publico Archivo</t>
  </si>
  <si>
    <t>1.  Área de Público</t>
  </si>
  <si>
    <t>1.Mesón de Atención</t>
  </si>
  <si>
    <t xml:space="preserve">3. Área consulta digital y microfichas </t>
  </si>
  <si>
    <t xml:space="preserve">4. Área Investigadores </t>
  </si>
  <si>
    <t xml:space="preserve">6. Legalizaciones </t>
  </si>
  <si>
    <t>2. Baños Público inclusivo</t>
  </si>
  <si>
    <t xml:space="preserve">3.     Área Administración  Biblioteca </t>
  </si>
  <si>
    <t>2. Área Publico Archivo</t>
  </si>
  <si>
    <t>3.     Área Administración  Archivo</t>
  </si>
  <si>
    <t xml:space="preserve">3. Oficina Jefe administrativo </t>
  </si>
  <si>
    <t>6. Bodega Insumos</t>
  </si>
  <si>
    <t>7. Baños</t>
  </si>
  <si>
    <t xml:space="preserve">9. Bodega Artículos </t>
  </si>
  <si>
    <t>8. Archivo Administrativo</t>
  </si>
  <si>
    <t>1.  Área Procesos Técnicos</t>
  </si>
  <si>
    <t>2.   Área Depósitos</t>
  </si>
  <si>
    <t>5. Área Técnica</t>
  </si>
  <si>
    <t>Superficies útiles</t>
  </si>
  <si>
    <t>1.Depósitos Colecciones</t>
  </si>
  <si>
    <t>Archivo</t>
  </si>
  <si>
    <t>Depósito</t>
  </si>
  <si>
    <t>2.  Áreas técnicas</t>
  </si>
  <si>
    <t>TOTAL</t>
  </si>
  <si>
    <t>1. Área de ingreso/despacho</t>
  </si>
  <si>
    <t>2. Sala Cuarentena Orgánico</t>
  </si>
  <si>
    <t>3. Sala Cuarentena Inorgánico</t>
  </si>
  <si>
    <t>4. Sala de documentación y material en tránsito</t>
  </si>
  <si>
    <t>6. Sala de preparación</t>
  </si>
  <si>
    <t>5. Sala de fotografía.</t>
  </si>
  <si>
    <t xml:space="preserve">1. hall de recepción </t>
  </si>
  <si>
    <t>2.Área de Lockers</t>
  </si>
  <si>
    <t>2.Oficina Director</t>
  </si>
  <si>
    <t>2.  Área Administrativa</t>
  </si>
  <si>
    <t>1. Administración</t>
  </si>
  <si>
    <t>2. oficina curador jefe</t>
  </si>
  <si>
    <t>3. oficina jefe administrativo</t>
  </si>
  <si>
    <t>4. sala de investigadores</t>
  </si>
  <si>
    <t>5. Sala de reuniones</t>
  </si>
  <si>
    <t>6. Baño</t>
  </si>
  <si>
    <t>7. Kitchenette</t>
  </si>
  <si>
    <t>1. Acceso</t>
  </si>
  <si>
    <t>1. Ingreso</t>
  </si>
  <si>
    <t>2. Depósitos</t>
  </si>
  <si>
    <t>3. Laboratorios</t>
  </si>
  <si>
    <t>4. Áreas de servicio.</t>
  </si>
  <si>
    <t>4.  Área Administrativa</t>
  </si>
  <si>
    <t>2.  Coordinación Regional de Bibliotecas Públicas</t>
  </si>
  <si>
    <t>3.Of profesional de apoyo</t>
  </si>
  <si>
    <t xml:space="preserve">3. Oficina Técnica Regional </t>
  </si>
  <si>
    <t>4.Of  técnicos</t>
  </si>
  <si>
    <t>3.Jefes de áreas</t>
  </si>
  <si>
    <t>5. Baño</t>
  </si>
  <si>
    <t>6. Kitchenette</t>
  </si>
  <si>
    <t>4. Baño</t>
  </si>
  <si>
    <t>5. Kitchenette</t>
  </si>
  <si>
    <t xml:space="preserve">3. Área Servicios Internos </t>
  </si>
  <si>
    <t>Resumen de superficies</t>
  </si>
  <si>
    <t>Superficie útil</t>
  </si>
  <si>
    <t>Grupo</t>
  </si>
  <si>
    <t xml:space="preserve">Biblioteca </t>
  </si>
  <si>
    <t>Oficinas</t>
  </si>
  <si>
    <t>Extensión</t>
  </si>
  <si>
    <t>2.  Área CCBBPP</t>
  </si>
  <si>
    <t>3. Área OTR CMN</t>
  </si>
  <si>
    <t>4.  Área Dirección Regional</t>
  </si>
  <si>
    <t>2. Oficina Secretario Regional</t>
  </si>
  <si>
    <t>3. Jefes de Unidades (coodinadores)</t>
  </si>
  <si>
    <t>4. Encargados de programas</t>
  </si>
  <si>
    <t>4.Of profesional de apoyo</t>
  </si>
  <si>
    <t>5.Of  técnicos</t>
  </si>
  <si>
    <t>5. Técnicos y apoyo</t>
  </si>
  <si>
    <t>5. SEREMI CAP</t>
  </si>
  <si>
    <t>3. sala 3 de reunión 20 personas</t>
  </si>
  <si>
    <t>1. sala 1 reunión 6 personas</t>
  </si>
  <si>
    <t>2. sala 2 de reunión 12 personas</t>
  </si>
  <si>
    <t>1.  Área Coordinación Regional</t>
  </si>
  <si>
    <t xml:space="preserve">1.  Área Consejo Monumentos Nacionales </t>
  </si>
  <si>
    <t>1.  Área SEREMI</t>
  </si>
  <si>
    <t xml:space="preserve">5. Áreas Servicios Internos </t>
  </si>
  <si>
    <t>4.  Dirección Regional del Servicio del Patrimonio Cultural</t>
  </si>
  <si>
    <t>5.  Secretaría Regional Ministerial de la Cultura, la Artes y el Patrimonio</t>
  </si>
  <si>
    <t>superficie de oficinas</t>
  </si>
  <si>
    <t>5.Kitchenette</t>
  </si>
  <si>
    <t>7. Instalaciones (Sala de Bombas, Grupo electrógeno, Sala de basura</t>
  </si>
  <si>
    <t>oficinas y recintos con computadores</t>
  </si>
  <si>
    <t>6. Datacenter local</t>
  </si>
  <si>
    <t>Subtotal</t>
  </si>
  <si>
    <t>1.  Área Dirección Regional</t>
  </si>
  <si>
    <t>6.  Área Adulto Mayor (+60) 
17,6% de las áreas de lectura</t>
  </si>
  <si>
    <t>10. Área +18</t>
  </si>
  <si>
    <t xml:space="preserve">1.Área de carga y descarga </t>
  </si>
  <si>
    <t xml:space="preserve">Estacionamientos </t>
  </si>
  <si>
    <t>1. Transferencias</t>
  </si>
  <si>
    <t>5. Fotocopiadora</t>
  </si>
  <si>
    <t>3. Baños funcionarios</t>
  </si>
  <si>
    <t>13. Datacenter local</t>
  </si>
  <si>
    <t>Espacios con computadores (para cálculo de datacenter)</t>
  </si>
  <si>
    <t>6.Sala seguridad</t>
  </si>
  <si>
    <t>8. Baño de Vigilantes</t>
  </si>
  <si>
    <t xml:space="preserve">7.Sala descanso de  Vigilantes </t>
  </si>
  <si>
    <t>7. Baños Públicos</t>
  </si>
  <si>
    <t>8. Baños Público inclusivo</t>
  </si>
  <si>
    <t xml:space="preserve">2. Organización y descripción </t>
  </si>
  <si>
    <t xml:space="preserve">3. Conservación y restauración </t>
  </si>
  <si>
    <t>4. Procesos digitales</t>
  </si>
  <si>
    <t>5. Archivo Técnico</t>
  </si>
  <si>
    <t>1. Depósito de Cuarentena</t>
  </si>
  <si>
    <t>2. Depósito 1</t>
  </si>
  <si>
    <t>3. Depósito 2</t>
  </si>
  <si>
    <t>4. Depósito 3</t>
  </si>
  <si>
    <t>5. Depósito 4</t>
  </si>
  <si>
    <t xml:space="preserve">6. Archivo fotográfico </t>
  </si>
  <si>
    <t>Recintos de uso público</t>
  </si>
  <si>
    <t>Depósitos</t>
  </si>
  <si>
    <t>6. Encargad@ Administración y Finanzas.</t>
  </si>
  <si>
    <t>7. Profesionales Adm y Finanzas.</t>
  </si>
  <si>
    <t>8. Encargad@ Fomento Lector y Gestión Cultural.</t>
  </si>
  <si>
    <t>9. Profesionales Fomento Lector y Gestión Cultural.</t>
  </si>
  <si>
    <t>10. Encargad@ Innovación y Tecnología.</t>
  </si>
  <si>
    <t>11. Profesionales Innovación y Tecnología.</t>
  </si>
  <si>
    <t>12. Espacio de trabajo interno</t>
  </si>
  <si>
    <t>% de sup. construidas</t>
  </si>
  <si>
    <t>% de sup útiles</t>
  </si>
  <si>
    <t>Oficinas y trabajo interno *</t>
  </si>
  <si>
    <t>*Solo oficinas, salas de reuniones y áreas de descanso. No considera baños, kitchennettes, casino, bodegas ni espacios de máquinas /datacenter</t>
  </si>
  <si>
    <t>porcentajes</t>
  </si>
  <si>
    <t>6. Centro de Documentación</t>
  </si>
  <si>
    <t>1. SecretarÍa</t>
  </si>
  <si>
    <t>1.Recepción y Secretaría</t>
  </si>
  <si>
    <t xml:space="preserve">1.Recepción y Secretaría </t>
  </si>
  <si>
    <t xml:space="preserve">1. Recepción y Secretaría </t>
  </si>
  <si>
    <t>9. Bodega Aseo/ Insumos</t>
  </si>
  <si>
    <t>Autos de usuarios y funcionarios (no consideran Áreas de carga y descarga técnica)</t>
  </si>
  <si>
    <t xml:space="preserve">2.Área de Lockers </t>
  </si>
  <si>
    <t>2. área usuarios ocasionales</t>
  </si>
  <si>
    <t>Circulaciones 35%</t>
  </si>
  <si>
    <t>La cantidad de puntos de atención depende de  la arquitectura, en tanto ésta permita el campo visual para que los funcionarios sean ubicables y ademas controlen el entorno con facilidad. Se requerirá al menos un por piso.</t>
  </si>
  <si>
    <t>1.Mesón atención*</t>
  </si>
  <si>
    <t>*</t>
  </si>
  <si>
    <t>2. Área Publica  de Lectura</t>
  </si>
  <si>
    <t>4.  Área Juvenil               (8-18 años)
13,7% de las áreas de lectura</t>
  </si>
  <si>
    <t>3. Área Infantil y Guaguateca (0 a 8 años) 
25,7% de las áreas de lectura.</t>
  </si>
  <si>
    <t>4. Área de carga y descarga</t>
  </si>
  <si>
    <t>4.     Área Técnica Archivo</t>
  </si>
  <si>
    <t>1. Depósito Colección seca</t>
  </si>
  <si>
    <t>2.  Depósito Colección Húmeda</t>
  </si>
  <si>
    <t>1. Laboratorio de consulta simple</t>
  </si>
  <si>
    <t>2. Laboratorio de consuta complejo</t>
  </si>
  <si>
    <t>1. Bodega material tóxico</t>
  </si>
  <si>
    <t>2. Bodega materiales / terreno</t>
  </si>
  <si>
    <t>3. Baño</t>
  </si>
  <si>
    <t>4. Baños con ducha</t>
  </si>
  <si>
    <t>5. Sala de máquinas</t>
  </si>
  <si>
    <t>6. Bodega desechos</t>
  </si>
  <si>
    <t>7. Sala de máquinas de respaldo</t>
  </si>
  <si>
    <t>8. Datacenter local</t>
  </si>
  <si>
    <t>1. Recintos Habitables</t>
  </si>
  <si>
    <t>Recintos no Habirtables (Redes y sistemas)</t>
  </si>
  <si>
    <t>4. Baños artistas</t>
  </si>
  <si>
    <t>3. Trasbambalinas</t>
  </si>
  <si>
    <t>2. Camarines  artistas</t>
  </si>
  <si>
    <t xml:space="preserve">5. Bodega de artículos </t>
  </si>
  <si>
    <t>6. Sala de Control</t>
  </si>
  <si>
    <t>7. Sala Multiuso  (Exposiciones)</t>
  </si>
  <si>
    <t>8. Bodega Multiuso</t>
  </si>
  <si>
    <t>9.  Sala Multiuso (Exposiciones)</t>
  </si>
  <si>
    <t>10. Bodega Multiuso</t>
  </si>
  <si>
    <t>11. Sala Capacitación 1</t>
  </si>
  <si>
    <t>12. Sala Capacitación 2</t>
  </si>
  <si>
    <t xml:space="preserve">13. Bodega </t>
  </si>
  <si>
    <t>14. Cafetería</t>
  </si>
  <si>
    <t>15. Baños usuarios</t>
  </si>
  <si>
    <t>16. Sala  Estudio 4</t>
  </si>
  <si>
    <t>17. Sala  Estudio 5</t>
  </si>
  <si>
    <t>9. Sala de Descanso  personal  aseo</t>
  </si>
  <si>
    <t>10. Baño con ducha Personal de Aseo</t>
  </si>
  <si>
    <t>11. lockers Personal Aseo</t>
  </si>
  <si>
    <t>1. Instalaciones (Sala de Bombas, Grupo electrógeno, Sala de basura) (Nota 2 )</t>
  </si>
  <si>
    <t>2.Datacenter Central</t>
  </si>
  <si>
    <t>Recintos Habitables</t>
  </si>
  <si>
    <t>No habitables (Redes y Sistemas)</t>
  </si>
  <si>
    <t>Relación en el total</t>
  </si>
  <si>
    <t xml:space="preserve">PROGRAMA BASE EXTENSIÓN Y RECINTOS COMUNES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</si>
</sst>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%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2"/>
      <color theme="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35AD77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/>
      <bottom/>
      <diagonal/>
    </border>
    <border>
      <left style="medium">
        <color indexed="64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/>
      <diagonal/>
    </border>
    <border>
      <left style="medium">
        <color indexed="64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/>
      <diagonal/>
    </border>
    <border>
      <left style="medium">
        <color indexed="64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1" tint="0.499984740745262"/>
      </bottom>
      <diagonal/>
    </border>
    <border>
      <left/>
      <right/>
      <top style="medium">
        <color indexed="64"/>
      </top>
      <bottom style="medium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1" tint="0.499984740745262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286">
    <xf numFmtId="0" fontId="0" fillId="0" borderId="0" xfId="0"/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8" fillId="2" borderId="8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8" fillId="2" borderId="14" xfId="0" applyFont="1" applyFill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3" fontId="11" fillId="2" borderId="15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vertical="top" wrapText="1"/>
    </xf>
    <xf numFmtId="0" fontId="9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12" fillId="0" borderId="0" xfId="0" applyFont="1"/>
    <xf numFmtId="0" fontId="8" fillId="2" borderId="7" xfId="0" applyFont="1" applyFill="1" applyBorder="1" applyAlignment="1">
      <alignment vertical="top" wrapText="1"/>
    </xf>
    <xf numFmtId="0" fontId="8" fillId="2" borderId="7" xfId="0" applyFont="1" applyFill="1" applyBorder="1" applyAlignment="1">
      <alignment horizontal="center" vertical="top" wrapText="1"/>
    </xf>
    <xf numFmtId="164" fontId="8" fillId="2" borderId="7" xfId="0" applyNumberFormat="1" applyFont="1" applyFill="1" applyBorder="1" applyAlignment="1">
      <alignment horizontal="center" vertical="top" wrapText="1"/>
    </xf>
    <xf numFmtId="3" fontId="8" fillId="2" borderId="7" xfId="0" applyNumberFormat="1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3" fontId="8" fillId="2" borderId="11" xfId="0" applyNumberFormat="1" applyFont="1" applyFill="1" applyBorder="1" applyAlignment="1">
      <alignment horizontal="center" vertical="top" wrapText="1"/>
    </xf>
    <xf numFmtId="0" fontId="8" fillId="5" borderId="16" xfId="0" applyFont="1" applyFill="1" applyBorder="1" applyAlignment="1">
      <alignment vertical="top" wrapText="1"/>
    </xf>
    <xf numFmtId="0" fontId="9" fillId="5" borderId="16" xfId="0" applyFont="1" applyFill="1" applyBorder="1" applyAlignment="1">
      <alignment vertical="top" wrapText="1"/>
    </xf>
    <xf numFmtId="0" fontId="9" fillId="5" borderId="16" xfId="0" applyFont="1" applyFill="1" applyBorder="1" applyAlignment="1">
      <alignment horizontal="center" vertical="top" wrapText="1"/>
    </xf>
    <xf numFmtId="3" fontId="8" fillId="5" borderId="16" xfId="0" applyNumberFormat="1" applyFont="1" applyFill="1" applyBorder="1" applyAlignment="1">
      <alignment horizontal="center" vertical="top" wrapText="1"/>
    </xf>
    <xf numFmtId="9" fontId="9" fillId="5" borderId="16" xfId="0" applyNumberFormat="1" applyFont="1" applyFill="1" applyBorder="1" applyAlignment="1">
      <alignment horizontal="center" vertical="top" wrapText="1"/>
    </xf>
    <xf numFmtId="0" fontId="13" fillId="2" borderId="17" xfId="0" applyFont="1" applyFill="1" applyBorder="1" applyAlignment="1">
      <alignment vertical="top" wrapText="1"/>
    </xf>
    <xf numFmtId="0" fontId="14" fillId="2" borderId="18" xfId="0" applyFont="1" applyFill="1" applyBorder="1" applyAlignment="1">
      <alignment vertical="top" wrapText="1"/>
    </xf>
    <xf numFmtId="0" fontId="14" fillId="2" borderId="18" xfId="0" applyFont="1" applyFill="1" applyBorder="1" applyAlignment="1">
      <alignment horizontal="center" vertical="top" wrapText="1"/>
    </xf>
    <xf numFmtId="3" fontId="13" fillId="2" borderId="18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vertical="top" wrapText="1"/>
    </xf>
    <xf numFmtId="0" fontId="9" fillId="0" borderId="1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right"/>
    </xf>
    <xf numFmtId="0" fontId="9" fillId="6" borderId="0" xfId="0" applyFont="1" applyFill="1"/>
    <xf numFmtId="0" fontId="12" fillId="6" borderId="0" xfId="0" applyFont="1" applyFill="1"/>
    <xf numFmtId="0" fontId="0" fillId="6" borderId="0" xfId="0" applyFill="1"/>
    <xf numFmtId="0" fontId="8" fillId="0" borderId="9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9" fillId="0" borderId="11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horizontal="center" vertical="top" wrapText="1"/>
    </xf>
    <xf numFmtId="1" fontId="11" fillId="2" borderId="15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Border="1" applyAlignment="1">
      <alignment horizontal="center" vertical="top" wrapText="1"/>
    </xf>
    <xf numFmtId="1" fontId="11" fillId="2" borderId="11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7" fillId="2" borderId="16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/>
    </xf>
    <xf numFmtId="0" fontId="9" fillId="0" borderId="7" xfId="0" applyFont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0" fillId="0" borderId="16" xfId="0" applyBorder="1"/>
    <xf numFmtId="0" fontId="0" fillId="0" borderId="0" xfId="0" applyFill="1" applyBorder="1"/>
    <xf numFmtId="0" fontId="16" fillId="0" borderId="7" xfId="0" applyFont="1" applyBorder="1" applyAlignment="1">
      <alignment vertical="top" wrapText="1"/>
    </xf>
    <xf numFmtId="0" fontId="10" fillId="0" borderId="11" xfId="0" applyFont="1" applyFill="1" applyBorder="1" applyAlignment="1">
      <alignment horizontal="center" vertical="top"/>
    </xf>
    <xf numFmtId="3" fontId="0" fillId="0" borderId="16" xfId="0" applyNumberFormat="1" applyBorder="1"/>
    <xf numFmtId="0" fontId="10" fillId="0" borderId="30" xfId="0" applyFont="1" applyFill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16" xfId="0" applyBorder="1" applyAlignment="1">
      <alignment wrapText="1"/>
    </xf>
    <xf numFmtId="0" fontId="10" fillId="0" borderId="4" xfId="0" applyFont="1" applyFill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2" fontId="0" fillId="0" borderId="16" xfId="0" applyNumberFormat="1" applyBorder="1"/>
    <xf numFmtId="0" fontId="0" fillId="0" borderId="34" xfId="0" applyBorder="1"/>
    <xf numFmtId="0" fontId="0" fillId="0" borderId="0" xfId="0" applyBorder="1"/>
    <xf numFmtId="0" fontId="0" fillId="0" borderId="35" xfId="0" applyBorder="1"/>
    <xf numFmtId="0" fontId="20" fillId="2" borderId="16" xfId="0" applyFont="1" applyFill="1" applyBorder="1" applyAlignment="1">
      <alignment horizontal="center"/>
    </xf>
    <xf numFmtId="165" fontId="0" fillId="0" borderId="0" xfId="0" applyNumberFormat="1"/>
    <xf numFmtId="0" fontId="0" fillId="0" borderId="0" xfId="0" applyFill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10" fillId="8" borderId="7" xfId="0" applyFont="1" applyFill="1" applyBorder="1" applyAlignment="1">
      <alignment horizontal="center" vertical="top" wrapText="1"/>
    </xf>
    <xf numFmtId="0" fontId="15" fillId="8" borderId="7" xfId="0" applyFont="1" applyFill="1" applyBorder="1" applyAlignment="1">
      <alignment horizontal="center" vertical="top" wrapText="1"/>
    </xf>
    <xf numFmtId="0" fontId="10" fillId="8" borderId="30" xfId="0" applyFont="1" applyFill="1" applyBorder="1" applyAlignment="1">
      <alignment horizontal="center" vertical="top" wrapText="1"/>
    </xf>
    <xf numFmtId="0" fontId="10" fillId="8" borderId="11" xfId="0" applyFont="1" applyFill="1" applyBorder="1" applyAlignment="1">
      <alignment horizontal="center" vertical="top" wrapText="1"/>
    </xf>
    <xf numFmtId="0" fontId="1" fillId="3" borderId="22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165" fontId="18" fillId="2" borderId="16" xfId="0" applyNumberFormat="1" applyFont="1" applyFill="1" applyBorder="1" applyAlignment="1">
      <alignment horizontal="center"/>
    </xf>
    <xf numFmtId="0" fontId="2" fillId="0" borderId="42" xfId="0" applyFont="1" applyBorder="1" applyAlignment="1">
      <alignment horizontal="center" vertical="top"/>
    </xf>
    <xf numFmtId="0" fontId="15" fillId="0" borderId="41" xfId="0" applyFont="1" applyFill="1" applyBorder="1" applyAlignment="1">
      <alignment horizontal="center" vertical="top" wrapText="1"/>
    </xf>
    <xf numFmtId="1" fontId="10" fillId="0" borderId="7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11" xfId="0" applyFont="1" applyBorder="1" applyAlignment="1">
      <alignment vertical="top" wrapText="1"/>
    </xf>
    <xf numFmtId="0" fontId="15" fillId="0" borderId="11" xfId="0" applyFont="1" applyBorder="1" applyAlignment="1">
      <alignment horizontal="center" vertical="top" wrapText="1"/>
    </xf>
    <xf numFmtId="0" fontId="9" fillId="0" borderId="30" xfId="0" applyFont="1" applyFill="1" applyBorder="1" applyAlignment="1">
      <alignment vertical="top" wrapText="1"/>
    </xf>
    <xf numFmtId="165" fontId="10" fillId="0" borderId="7" xfId="0" applyNumberFormat="1" applyFont="1" applyFill="1" applyBorder="1" applyAlignment="1">
      <alignment horizontal="center" vertical="top" wrapText="1"/>
    </xf>
    <xf numFmtId="0" fontId="0" fillId="8" borderId="0" xfId="0" applyFill="1"/>
    <xf numFmtId="165" fontId="15" fillId="0" borderId="30" xfId="0" applyNumberFormat="1" applyFont="1" applyFill="1" applyBorder="1" applyAlignment="1">
      <alignment horizontal="center" vertical="top" wrapText="1"/>
    </xf>
    <xf numFmtId="0" fontId="10" fillId="7" borderId="7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23" xfId="0" applyBorder="1" applyAlignment="1"/>
    <xf numFmtId="0" fontId="0" fillId="0" borderId="16" xfId="0" applyFill="1" applyBorder="1" applyAlignment="1">
      <alignment wrapText="1"/>
    </xf>
    <xf numFmtId="2" fontId="0" fillId="0" borderId="0" xfId="0" applyNumberFormat="1"/>
    <xf numFmtId="0" fontId="22" fillId="0" borderId="0" xfId="0" applyFont="1"/>
    <xf numFmtId="0" fontId="10" fillId="2" borderId="18" xfId="0" applyFont="1" applyFill="1" applyBorder="1" applyAlignment="1">
      <alignment vertical="top" wrapText="1"/>
    </xf>
    <xf numFmtId="0" fontId="9" fillId="6" borderId="0" xfId="0" applyFont="1" applyFill="1" applyBorder="1"/>
    <xf numFmtId="0" fontId="12" fillId="6" borderId="0" xfId="0" applyFont="1" applyFill="1" applyBorder="1"/>
    <xf numFmtId="0" fontId="12" fillId="0" borderId="0" xfId="0" applyFont="1" applyFill="1" applyBorder="1"/>
    <xf numFmtId="0" fontId="5" fillId="3" borderId="0" xfId="0" applyFont="1" applyFill="1" applyBorder="1" applyAlignment="1">
      <alignment vertical="top" wrapText="1"/>
    </xf>
    <xf numFmtId="165" fontId="15" fillId="9" borderId="7" xfId="0" applyNumberFormat="1" applyFont="1" applyFill="1" applyBorder="1" applyAlignment="1">
      <alignment horizontal="center"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3" xfId="0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11" fillId="2" borderId="17" xfId="0" applyFont="1" applyFill="1" applyBorder="1" applyAlignment="1">
      <alignment vertical="top" wrapText="1"/>
    </xf>
    <xf numFmtId="0" fontId="10" fillId="2" borderId="18" xfId="0" applyFont="1" applyFill="1" applyBorder="1" applyAlignment="1">
      <alignment horizontal="center" vertical="top" wrapText="1"/>
    </xf>
    <xf numFmtId="3" fontId="11" fillId="2" borderId="18" xfId="0" applyNumberFormat="1" applyFont="1" applyFill="1" applyBorder="1" applyAlignment="1">
      <alignment horizontal="center" vertical="top" wrapText="1"/>
    </xf>
    <xf numFmtId="0" fontId="24" fillId="3" borderId="21" xfId="0" applyFont="1" applyFill="1" applyBorder="1" applyAlignment="1">
      <alignment horizontal="left"/>
    </xf>
    <xf numFmtId="0" fontId="24" fillId="3" borderId="22" xfId="0" applyFont="1" applyFill="1" applyBorder="1" applyAlignment="1">
      <alignment horizontal="left"/>
    </xf>
    <xf numFmtId="0" fontId="23" fillId="2" borderId="23" xfId="0" applyFont="1" applyFill="1" applyBorder="1" applyAlignment="1">
      <alignment horizontal="right"/>
    </xf>
    <xf numFmtId="0" fontId="23" fillId="2" borderId="24" xfId="0" applyFont="1" applyFill="1" applyBorder="1" applyAlignment="1">
      <alignment horizontal="right"/>
    </xf>
    <xf numFmtId="0" fontId="23" fillId="2" borderId="25" xfId="0" applyFont="1" applyFill="1" applyBorder="1" applyAlignment="1">
      <alignment horizontal="right"/>
    </xf>
    <xf numFmtId="0" fontId="25" fillId="2" borderId="16" xfId="0" applyFont="1" applyFill="1" applyBorder="1" applyAlignment="1">
      <alignment horizontal="center"/>
    </xf>
    <xf numFmtId="0" fontId="12" fillId="2" borderId="16" xfId="0" applyFont="1" applyFill="1" applyBorder="1"/>
    <xf numFmtId="0" fontId="15" fillId="2" borderId="16" xfId="0" applyFont="1" applyFill="1" applyBorder="1" applyAlignment="1">
      <alignment horizontal="center"/>
    </xf>
    <xf numFmtId="0" fontId="24" fillId="3" borderId="40" xfId="0" applyFont="1" applyFill="1" applyBorder="1" applyAlignment="1">
      <alignment horizontal="right"/>
    </xf>
    <xf numFmtId="0" fontId="24" fillId="3" borderId="43" xfId="0" applyFont="1" applyFill="1" applyBorder="1" applyAlignment="1">
      <alignment horizontal="right"/>
    </xf>
    <xf numFmtId="0" fontId="24" fillId="3" borderId="44" xfId="0" applyFont="1" applyFill="1" applyBorder="1" applyAlignment="1">
      <alignment horizontal="right"/>
    </xf>
    <xf numFmtId="0" fontId="24" fillId="3" borderId="29" xfId="0" applyFont="1" applyFill="1" applyBorder="1" applyAlignment="1">
      <alignment horizontal="center"/>
    </xf>
    <xf numFmtId="0" fontId="24" fillId="3" borderId="29" xfId="0" applyFont="1" applyFill="1" applyBorder="1" applyAlignment="1">
      <alignment horizontal="right"/>
    </xf>
    <xf numFmtId="0" fontId="12" fillId="0" borderId="0" xfId="0" applyFont="1" applyBorder="1"/>
    <xf numFmtId="0" fontId="12" fillId="0" borderId="0" xfId="0" applyFont="1" applyFill="1"/>
    <xf numFmtId="0" fontId="19" fillId="10" borderId="7" xfId="0" applyFont="1" applyFill="1" applyBorder="1" applyAlignment="1">
      <alignment horizontal="center" vertical="top" wrapText="1"/>
    </xf>
    <xf numFmtId="3" fontId="0" fillId="0" borderId="0" xfId="0" applyNumberFormat="1"/>
    <xf numFmtId="0" fontId="0" fillId="0" borderId="0" xfId="0" applyFill="1" applyBorder="1" applyAlignment="1">
      <alignment wrapText="1"/>
    </xf>
    <xf numFmtId="3" fontId="0" fillId="0" borderId="0" xfId="0" applyNumberFormat="1" applyFill="1" applyBorder="1"/>
    <xf numFmtId="9" fontId="0" fillId="0" borderId="0" xfId="1" applyFont="1" applyFill="1" applyBorder="1"/>
    <xf numFmtId="166" fontId="0" fillId="0" borderId="0" xfId="1" applyNumberFormat="1" applyFont="1" applyFill="1" applyBorder="1"/>
    <xf numFmtId="0" fontId="8" fillId="0" borderId="8" xfId="0" applyFont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10" fontId="0" fillId="0" borderId="16" xfId="1" applyNumberFormat="1" applyFont="1" applyBorder="1"/>
    <xf numFmtId="10" fontId="0" fillId="0" borderId="0" xfId="0" applyNumberFormat="1"/>
    <xf numFmtId="0" fontId="0" fillId="0" borderId="0" xfId="0" applyAlignment="1">
      <alignment horizontal="right"/>
    </xf>
    <xf numFmtId="0" fontId="3" fillId="2" borderId="24" xfId="0" applyFont="1" applyFill="1" applyBorder="1" applyAlignment="1">
      <alignment horizontal="right"/>
    </xf>
    <xf numFmtId="0" fontId="3" fillId="2" borderId="25" xfId="0" applyFont="1" applyFill="1" applyBorder="1" applyAlignment="1">
      <alignment horizontal="right"/>
    </xf>
    <xf numFmtId="0" fontId="6" fillId="3" borderId="13" xfId="0" applyFont="1" applyFill="1" applyBorder="1" applyAlignment="1">
      <alignment vertical="top" wrapText="1"/>
    </xf>
    <xf numFmtId="0" fontId="1" fillId="3" borderId="22" xfId="0" applyFont="1" applyFill="1" applyBorder="1" applyAlignment="1">
      <alignment horizontal="left"/>
    </xf>
    <xf numFmtId="0" fontId="6" fillId="3" borderId="19" xfId="0" applyFont="1" applyFill="1" applyBorder="1" applyAlignment="1">
      <alignment vertical="top" wrapText="1"/>
    </xf>
    <xf numFmtId="0" fontId="5" fillId="3" borderId="45" xfId="0" applyFont="1" applyFill="1" applyBorder="1" applyAlignment="1">
      <alignment horizontal="center" vertical="top" wrapText="1"/>
    </xf>
    <xf numFmtId="0" fontId="5" fillId="4" borderId="47" xfId="0" applyFont="1" applyFill="1" applyBorder="1" applyAlignment="1">
      <alignment horizontal="center" vertical="top" wrapText="1"/>
    </xf>
    <xf numFmtId="0" fontId="8" fillId="2" borderId="48" xfId="0" applyFont="1" applyFill="1" applyBorder="1" applyAlignment="1">
      <alignment vertical="top" wrapText="1"/>
    </xf>
    <xf numFmtId="0" fontId="8" fillId="0" borderId="48" xfId="0" applyFont="1" applyFill="1" applyBorder="1" applyAlignment="1">
      <alignment horizontal="left" vertical="top" wrapText="1"/>
    </xf>
    <xf numFmtId="0" fontId="8" fillId="0" borderId="51" xfId="0" applyFont="1" applyFill="1" applyBorder="1" applyAlignment="1">
      <alignment vertical="top" wrapText="1"/>
    </xf>
    <xf numFmtId="0" fontId="6" fillId="2" borderId="47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vertical="top" wrapText="1"/>
    </xf>
    <xf numFmtId="0" fontId="8" fillId="2" borderId="56" xfId="0" applyFont="1" applyFill="1" applyBorder="1" applyAlignment="1">
      <alignment vertical="top" wrapText="1"/>
    </xf>
    <xf numFmtId="0" fontId="8" fillId="5" borderId="36" xfId="0" applyFont="1" applyFill="1" applyBorder="1" applyAlignment="1">
      <alignment vertical="top" wrapText="1"/>
    </xf>
    <xf numFmtId="0" fontId="12" fillId="0" borderId="34" xfId="0" applyFont="1" applyBorder="1"/>
    <xf numFmtId="0" fontId="12" fillId="0" borderId="0" xfId="0" applyFont="1" applyBorder="1" applyAlignment="1">
      <alignment wrapText="1"/>
    </xf>
    <xf numFmtId="0" fontId="12" fillId="0" borderId="35" xfId="0" applyFont="1" applyBorder="1"/>
    <xf numFmtId="0" fontId="13" fillId="2" borderId="57" xfId="0" applyFont="1" applyFill="1" applyBorder="1" applyAlignment="1">
      <alignment vertical="top" wrapText="1"/>
    </xf>
    <xf numFmtId="1" fontId="12" fillId="0" borderId="0" xfId="0" applyNumberFormat="1" applyFont="1" applyBorder="1"/>
    <xf numFmtId="0" fontId="1" fillId="3" borderId="59" xfId="0" applyFont="1" applyFill="1" applyBorder="1" applyAlignment="1">
      <alignment horizontal="left"/>
    </xf>
    <xf numFmtId="0" fontId="1" fillId="3" borderId="60" xfId="0" applyFont="1" applyFill="1" applyBorder="1" applyAlignment="1">
      <alignment horizontal="left"/>
    </xf>
    <xf numFmtId="0" fontId="0" fillId="2" borderId="37" xfId="0" applyFill="1" applyBorder="1"/>
    <xf numFmtId="0" fontId="1" fillId="3" borderId="38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right"/>
    </xf>
    <xf numFmtId="0" fontId="1" fillId="3" borderId="39" xfId="0" applyFont="1" applyFill="1" applyBorder="1" applyAlignment="1">
      <alignment horizontal="right"/>
    </xf>
    <xf numFmtId="0" fontId="5" fillId="3" borderId="46" xfId="0" applyFont="1" applyFill="1" applyBorder="1" applyAlignment="1">
      <alignment horizontal="center" vertical="top" wrapText="1"/>
    </xf>
    <xf numFmtId="0" fontId="7" fillId="3" borderId="49" xfId="0" applyFont="1" applyFill="1" applyBorder="1" applyAlignment="1">
      <alignment vertical="top" wrapText="1"/>
    </xf>
    <xf numFmtId="0" fontId="10" fillId="0" borderId="49" xfId="0" applyFont="1" applyBorder="1" applyAlignment="1">
      <alignment horizontal="center" vertical="top" wrapText="1"/>
    </xf>
    <xf numFmtId="0" fontId="11" fillId="2" borderId="52" xfId="0" applyFont="1" applyFill="1" applyBorder="1" applyAlignment="1">
      <alignment horizontal="center" vertical="top" wrapText="1"/>
    </xf>
    <xf numFmtId="0" fontId="10" fillId="0" borderId="49" xfId="0" applyFont="1" applyFill="1" applyBorder="1" applyAlignment="1">
      <alignment horizontal="center" vertical="top" wrapText="1"/>
    </xf>
    <xf numFmtId="165" fontId="10" fillId="0" borderId="49" xfId="0" applyNumberFormat="1" applyFont="1" applyBorder="1" applyAlignment="1">
      <alignment horizontal="center" vertical="top" wrapText="1"/>
    </xf>
    <xf numFmtId="0" fontId="10" fillId="3" borderId="46" xfId="0" applyFont="1" applyFill="1" applyBorder="1" applyAlignment="1">
      <alignment horizontal="center" vertical="top" wrapText="1"/>
    </xf>
    <xf numFmtId="164" fontId="8" fillId="2" borderId="49" xfId="0" applyNumberFormat="1" applyFont="1" applyFill="1" applyBorder="1" applyAlignment="1">
      <alignment horizontal="center" vertical="top" wrapText="1"/>
    </xf>
    <xf numFmtId="3" fontId="8" fillId="2" borderId="49" xfId="0" applyNumberFormat="1" applyFont="1" applyFill="1" applyBorder="1" applyAlignment="1">
      <alignment horizontal="center" vertical="top" wrapText="1"/>
    </xf>
    <xf numFmtId="3" fontId="8" fillId="5" borderId="37" xfId="0" applyNumberFormat="1" applyFont="1" applyFill="1" applyBorder="1" applyAlignment="1">
      <alignment horizontal="center" vertical="top" wrapText="1"/>
    </xf>
    <xf numFmtId="3" fontId="13" fillId="2" borderId="58" xfId="0" applyNumberFormat="1" applyFont="1" applyFill="1" applyBorder="1" applyAlignment="1">
      <alignment horizontal="center" vertical="top" wrapText="1"/>
    </xf>
    <xf numFmtId="0" fontId="10" fillId="0" borderId="52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9" fillId="0" borderId="35" xfId="0" applyFont="1" applyBorder="1" applyAlignment="1">
      <alignment horizontal="center" vertical="top" wrapText="1"/>
    </xf>
    <xf numFmtId="0" fontId="3" fillId="2" borderId="61" xfId="0" applyFont="1" applyFill="1" applyBorder="1" applyAlignment="1">
      <alignment horizontal="right"/>
    </xf>
    <xf numFmtId="0" fontId="0" fillId="2" borderId="37" xfId="0" applyFill="1" applyBorder="1" applyAlignment="1">
      <alignment horizontal="center"/>
    </xf>
    <xf numFmtId="0" fontId="1" fillId="3" borderId="62" xfId="0" applyFont="1" applyFill="1" applyBorder="1" applyAlignment="1">
      <alignment horizontal="left"/>
    </xf>
    <xf numFmtId="0" fontId="1" fillId="3" borderId="63" xfId="0" applyFont="1" applyFill="1" applyBorder="1" applyAlignment="1">
      <alignment horizontal="right"/>
    </xf>
    <xf numFmtId="0" fontId="1" fillId="3" borderId="64" xfId="0" applyFont="1" applyFill="1" applyBorder="1" applyAlignment="1">
      <alignment horizontal="right"/>
    </xf>
    <xf numFmtId="0" fontId="9" fillId="0" borderId="27" xfId="0" applyFont="1" applyFill="1" applyBorder="1" applyAlignment="1">
      <alignment vertical="top" wrapText="1"/>
    </xf>
    <xf numFmtId="0" fontId="15" fillId="0" borderId="6" xfId="0" applyFont="1" applyFill="1" applyBorder="1" applyAlignment="1">
      <alignment vertical="top" wrapText="1"/>
    </xf>
    <xf numFmtId="0" fontId="9" fillId="0" borderId="26" xfId="0" applyFont="1" applyFill="1" applyBorder="1" applyAlignment="1">
      <alignment vertical="top" wrapText="1"/>
    </xf>
    <xf numFmtId="0" fontId="8" fillId="2" borderId="50" xfId="0" applyFont="1" applyFill="1" applyBorder="1" applyAlignment="1">
      <alignment vertical="top" wrapText="1"/>
    </xf>
    <xf numFmtId="0" fontId="4" fillId="2" borderId="1" xfId="0" applyFont="1" applyFill="1" applyBorder="1" applyAlignment="1"/>
    <xf numFmtId="2" fontId="0" fillId="0" borderId="0" xfId="0" applyNumberFormat="1" applyBorder="1"/>
    <xf numFmtId="166" fontId="0" fillId="0" borderId="16" xfId="1" applyNumberFormat="1" applyFont="1" applyFill="1" applyBorder="1"/>
    <xf numFmtId="0" fontId="4" fillId="11" borderId="32" xfId="0" applyFont="1" applyFill="1" applyBorder="1" applyAlignment="1"/>
    <xf numFmtId="0" fontId="4" fillId="11" borderId="33" xfId="0" applyFont="1" applyFill="1" applyBorder="1" applyAlignment="1"/>
    <xf numFmtId="0" fontId="26" fillId="11" borderId="0" xfId="0" applyFont="1" applyFill="1"/>
    <xf numFmtId="0" fontId="0" fillId="11" borderId="16" xfId="0" applyFill="1" applyBorder="1"/>
    <xf numFmtId="0" fontId="3" fillId="2" borderId="61" xfId="0" applyFont="1" applyFill="1" applyBorder="1" applyAlignment="1">
      <alignment horizontal="right"/>
    </xf>
    <xf numFmtId="0" fontId="3" fillId="2" borderId="24" xfId="0" applyFont="1" applyFill="1" applyBorder="1" applyAlignment="1">
      <alignment horizontal="right"/>
    </xf>
    <xf numFmtId="0" fontId="3" fillId="2" borderId="25" xfId="0" applyFont="1" applyFill="1" applyBorder="1" applyAlignment="1">
      <alignment horizontal="right"/>
    </xf>
    <xf numFmtId="0" fontId="8" fillId="0" borderId="48" xfId="0" applyFont="1" applyFill="1" applyBorder="1" applyAlignment="1">
      <alignment horizontal="left" vertical="top" wrapText="1"/>
    </xf>
    <xf numFmtId="0" fontId="8" fillId="0" borderId="50" xfId="0" applyFont="1" applyFill="1" applyBorder="1" applyAlignment="1">
      <alignment horizontal="left" vertical="top" wrapText="1"/>
    </xf>
    <xf numFmtId="0" fontId="8" fillId="0" borderId="55" xfId="0" applyFont="1" applyFill="1" applyBorder="1" applyAlignment="1">
      <alignment horizontal="left" vertical="top" wrapText="1"/>
    </xf>
    <xf numFmtId="0" fontId="1" fillId="3" borderId="62" xfId="0" applyFont="1" applyFill="1" applyBorder="1" applyAlignment="1">
      <alignment horizontal="right"/>
    </xf>
    <xf numFmtId="0" fontId="1" fillId="3" borderId="63" xfId="0" applyFont="1" applyFill="1" applyBorder="1" applyAlignment="1">
      <alignment horizontal="right"/>
    </xf>
    <xf numFmtId="0" fontId="1" fillId="3" borderId="64" xfId="0" applyFont="1" applyFill="1" applyBorder="1" applyAlignment="1">
      <alignment horizontal="right"/>
    </xf>
    <xf numFmtId="0" fontId="8" fillId="0" borderId="48" xfId="0" applyFont="1" applyFill="1" applyBorder="1" applyAlignment="1">
      <alignment vertical="top" wrapText="1"/>
    </xf>
    <xf numFmtId="0" fontId="8" fillId="0" borderId="51" xfId="0" applyFont="1" applyFill="1" applyBorder="1" applyAlignment="1">
      <alignment vertical="top" wrapText="1"/>
    </xf>
    <xf numFmtId="0" fontId="6" fillId="3" borderId="53" xfId="0" applyFont="1" applyFill="1" applyBorder="1" applyAlignment="1">
      <alignment vertical="top" wrapText="1"/>
    </xf>
    <xf numFmtId="0" fontId="6" fillId="3" borderId="13" xfId="0" applyFont="1" applyFill="1" applyBorder="1" applyAlignment="1">
      <alignment vertical="top" wrapText="1"/>
    </xf>
    <xf numFmtId="0" fontId="0" fillId="0" borderId="0" xfId="0" applyBorder="1" applyAlignment="1">
      <alignment horizontal="left" wrapText="1"/>
    </xf>
    <xf numFmtId="0" fontId="8" fillId="0" borderId="51" xfId="0" applyFont="1" applyFill="1" applyBorder="1" applyAlignment="1">
      <alignment horizontal="left" vertical="top" wrapText="1"/>
    </xf>
    <xf numFmtId="0" fontId="6" fillId="3" borderId="47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8" fillId="0" borderId="48" xfId="0" applyFont="1" applyBorder="1" applyAlignment="1">
      <alignment horizontal="left" vertical="top" wrapText="1"/>
    </xf>
    <xf numFmtId="0" fontId="8" fillId="0" borderId="50" xfId="0" applyFont="1" applyBorder="1" applyAlignment="1">
      <alignment horizontal="left" vertical="top" wrapText="1"/>
    </xf>
    <xf numFmtId="0" fontId="8" fillId="0" borderId="51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top"/>
    </xf>
    <xf numFmtId="0" fontId="8" fillId="0" borderId="36" xfId="0" applyFont="1" applyFill="1" applyBorder="1" applyAlignment="1">
      <alignment horizontal="left" vertical="top" wrapText="1"/>
    </xf>
    <xf numFmtId="0" fontId="8" fillId="0" borderId="54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0" fillId="0" borderId="36" xfId="0" applyBorder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8" fillId="0" borderId="26" xfId="0" applyFont="1" applyFill="1" applyBorder="1" applyAlignment="1">
      <alignment horizontal="left" vertical="top" wrapText="1"/>
    </xf>
    <xf numFmtId="0" fontId="8" fillId="0" borderId="27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6" fillId="3" borderId="12" xfId="0" applyFont="1" applyFill="1" applyBorder="1" applyAlignment="1">
      <alignment vertical="top" wrapText="1"/>
    </xf>
    <xf numFmtId="0" fontId="4" fillId="2" borderId="65" xfId="0" applyFont="1" applyFill="1" applyBorder="1" applyAlignment="1">
      <alignment horizontal="center"/>
    </xf>
    <xf numFmtId="0" fontId="4" fillId="2" borderId="66" xfId="0" applyFont="1" applyFill="1" applyBorder="1" applyAlignment="1">
      <alignment horizontal="center"/>
    </xf>
    <xf numFmtId="0" fontId="4" fillId="2" borderId="67" xfId="0" applyFont="1" applyFill="1" applyBorder="1" applyAlignment="1">
      <alignment horizontal="center"/>
    </xf>
    <xf numFmtId="0" fontId="12" fillId="0" borderId="16" xfId="0" applyFont="1" applyBorder="1" applyAlignment="1">
      <alignment horizontal="left" vertical="top"/>
    </xf>
    <xf numFmtId="0" fontId="6" fillId="3" borderId="54" xfId="0" applyFont="1" applyFill="1" applyBorder="1" applyAlignment="1">
      <alignment vertical="top" wrapText="1"/>
    </xf>
    <xf numFmtId="0" fontId="12" fillId="0" borderId="48" xfId="0" applyFont="1" applyBorder="1" applyAlignment="1">
      <alignment horizontal="left" vertical="top"/>
    </xf>
    <xf numFmtId="0" fontId="12" fillId="0" borderId="51" xfId="0" applyFont="1" applyBorder="1" applyAlignment="1">
      <alignment horizontal="left" vertical="top"/>
    </xf>
    <xf numFmtId="0" fontId="12" fillId="0" borderId="50" xfId="0" applyFont="1" applyBorder="1" applyAlignment="1">
      <alignment horizontal="left" vertical="top"/>
    </xf>
    <xf numFmtId="0" fontId="3" fillId="2" borderId="23" xfId="0" applyFont="1" applyFill="1" applyBorder="1" applyAlignment="1">
      <alignment horizontal="right"/>
    </xf>
    <xf numFmtId="0" fontId="1" fillId="3" borderId="23" xfId="0" applyFont="1" applyFill="1" applyBorder="1" applyAlignment="1">
      <alignment horizontal="right"/>
    </xf>
    <xf numFmtId="0" fontId="1" fillId="3" borderId="24" xfId="0" applyFont="1" applyFill="1" applyBorder="1" applyAlignment="1">
      <alignment horizontal="right"/>
    </xf>
    <xf numFmtId="0" fontId="1" fillId="3" borderId="25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left" vertical="top" wrapText="1"/>
    </xf>
    <xf numFmtId="0" fontId="6" fillId="3" borderId="31" xfId="0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left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3" borderId="19" xfId="0" applyFont="1" applyFill="1" applyBorder="1" applyAlignment="1">
      <alignment vertical="top" wrapText="1"/>
    </xf>
    <xf numFmtId="0" fontId="8" fillId="0" borderId="20" xfId="0" applyFont="1" applyBorder="1" applyAlignment="1">
      <alignment horizontal="center" vertical="top" wrapText="1"/>
    </xf>
    <xf numFmtId="0" fontId="0" fillId="0" borderId="16" xfId="0" applyBorder="1" applyAlignment="1">
      <alignment horizontal="left"/>
    </xf>
    <xf numFmtId="0" fontId="3" fillId="11" borderId="22" xfId="0" applyFont="1" applyFill="1" applyBorder="1" applyAlignment="1">
      <alignment horizontal="left"/>
    </xf>
    <xf numFmtId="0" fontId="0" fillId="0" borderId="0" xfId="0" applyBorder="1" applyAlignment="1">
      <alignment horizont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35AD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81</xdr:row>
      <xdr:rowOff>0</xdr:rowOff>
    </xdr:from>
    <xdr:to>
      <xdr:col>6</xdr:col>
      <xdr:colOff>304800</xdr:colOff>
      <xdr:row>82</xdr:row>
      <xdr:rowOff>114300</xdr:rowOff>
    </xdr:to>
    <xdr:sp macro="" textlink="">
      <xdr:nvSpPr>
        <xdr:cNvPr id="1026" name="AutoShape 2" descr="https://correoweb.dibam.cl/owa/attachment.ashx?id=RgAAAADVlbpXHyalTo%2fk5KSl4m9gBwBmuNOXykgYTJf10jFrbczcAAAABlveAABmuNOXykgYTJf10jFrbczcAAPT45G2AAAJ&amp;attcnt=1&amp;attid0=BAAAAAAA&amp;attcid0=cf668d8c-5277-40ec-82cb-92a8d3d6fc51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4601825" y="1864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zoomScale="80" zoomScaleNormal="80" workbookViewId="0">
      <selection activeCell="F21" sqref="F21"/>
    </sheetView>
  </sheetViews>
  <sheetFormatPr baseColWidth="10" defaultRowHeight="15" x14ac:dyDescent="0.25"/>
  <cols>
    <col min="1" max="1" width="24.28515625" customWidth="1"/>
    <col min="2" max="2" width="24.140625" style="99" customWidth="1"/>
    <col min="3" max="3" width="11.85546875" customWidth="1"/>
    <col min="4" max="4" width="11.42578125" customWidth="1"/>
    <col min="5" max="5" width="6.7109375" customWidth="1"/>
    <col min="6" max="6" width="31.42578125" customWidth="1"/>
  </cols>
  <sheetData>
    <row r="1" spans="1:5" ht="15.75" thickBot="1" x14ac:dyDescent="0.3"/>
    <row r="2" spans="1:5" ht="19.5" thickBot="1" x14ac:dyDescent="0.35">
      <c r="A2" s="212" t="s">
        <v>67</v>
      </c>
      <c r="B2" s="213"/>
      <c r="C2" s="213"/>
      <c r="D2" s="213"/>
      <c r="E2" s="213"/>
    </row>
    <row r="3" spans="1:5" ht="45" x14ac:dyDescent="0.25">
      <c r="A3" s="166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s="167"/>
      <c r="B4" s="3"/>
      <c r="C4" s="3"/>
      <c r="D4" s="3"/>
      <c r="E4" s="3"/>
    </row>
    <row r="5" spans="1:5" x14ac:dyDescent="0.25">
      <c r="A5" s="231" t="s">
        <v>5</v>
      </c>
      <c r="B5" s="232"/>
      <c r="C5" s="4"/>
      <c r="D5" s="4"/>
      <c r="E5" s="4"/>
    </row>
    <row r="6" spans="1:5" x14ac:dyDescent="0.25">
      <c r="A6" s="233" t="s">
        <v>6</v>
      </c>
      <c r="B6" s="5" t="s">
        <v>7</v>
      </c>
      <c r="C6" s="6">
        <v>0.8</v>
      </c>
      <c r="D6" s="67">
        <v>62</v>
      </c>
      <c r="E6" s="103">
        <f>+C6*D6</f>
        <v>49.6</v>
      </c>
    </row>
    <row r="7" spans="1:5" x14ac:dyDescent="0.25">
      <c r="A7" s="234"/>
      <c r="B7" s="5" t="s">
        <v>8</v>
      </c>
      <c r="C7" s="6"/>
      <c r="D7" s="6"/>
      <c r="E7" s="13">
        <v>16</v>
      </c>
    </row>
    <row r="8" spans="1:5" x14ac:dyDescent="0.25">
      <c r="A8" s="235"/>
      <c r="B8" s="5" t="s">
        <v>9</v>
      </c>
      <c r="C8" s="6">
        <v>2</v>
      </c>
      <c r="D8" s="64">
        <v>4</v>
      </c>
      <c r="E8" s="13">
        <f>+C8*D8</f>
        <v>8</v>
      </c>
    </row>
    <row r="9" spans="1:5" ht="15.75" thickBot="1" x14ac:dyDescent="0.3">
      <c r="A9" s="168"/>
      <c r="B9" s="8"/>
      <c r="C9" s="9"/>
      <c r="D9" s="9"/>
      <c r="E9" s="63">
        <f>SUM(E6:E8)</f>
        <v>73.599999999999994</v>
      </c>
    </row>
    <row r="10" spans="1:5" x14ac:dyDescent="0.25">
      <c r="A10" s="227" t="s">
        <v>215</v>
      </c>
      <c r="B10" s="228"/>
      <c r="C10" s="12"/>
      <c r="D10" s="12"/>
      <c r="E10" s="12"/>
    </row>
    <row r="11" spans="1:5" x14ac:dyDescent="0.25">
      <c r="A11" s="233" t="s">
        <v>14</v>
      </c>
      <c r="B11" s="14" t="s">
        <v>15</v>
      </c>
      <c r="C11" s="13"/>
      <c r="D11" s="65"/>
      <c r="E11" s="13">
        <v>14</v>
      </c>
    </row>
    <row r="12" spans="1:5" ht="25.5" x14ac:dyDescent="0.25">
      <c r="A12" s="234"/>
      <c r="B12" s="14" t="s">
        <v>16</v>
      </c>
      <c r="C12" s="13"/>
      <c r="D12" s="13"/>
      <c r="E12" s="13">
        <v>25</v>
      </c>
    </row>
    <row r="13" spans="1:5" x14ac:dyDescent="0.25">
      <c r="A13" s="234"/>
      <c r="B13" s="14" t="s">
        <v>17</v>
      </c>
      <c r="C13" s="13"/>
      <c r="D13" s="66"/>
      <c r="E13" s="13">
        <v>8</v>
      </c>
    </row>
    <row r="14" spans="1:5" x14ac:dyDescent="0.25">
      <c r="A14" s="234"/>
      <c r="B14" s="14" t="s">
        <v>18</v>
      </c>
      <c r="C14" s="13"/>
      <c r="D14" s="66"/>
      <c r="E14" s="13">
        <v>20</v>
      </c>
    </row>
    <row r="15" spans="1:5" ht="25.5" x14ac:dyDescent="0.25">
      <c r="A15" s="169" t="s">
        <v>19</v>
      </c>
      <c r="B15" s="19" t="s">
        <v>20</v>
      </c>
      <c r="C15" s="13">
        <v>1.5</v>
      </c>
      <c r="D15" s="66">
        <v>24</v>
      </c>
      <c r="E15" s="13">
        <f t="shared" ref="E15:E40" si="0">+C15*D15</f>
        <v>36</v>
      </c>
    </row>
    <row r="16" spans="1:5" x14ac:dyDescent="0.25">
      <c r="A16" s="240" t="s">
        <v>217</v>
      </c>
      <c r="B16" s="19" t="s">
        <v>21</v>
      </c>
      <c r="C16" s="13">
        <v>2</v>
      </c>
      <c r="D16" s="65">
        <v>2</v>
      </c>
      <c r="E16" s="13">
        <f t="shared" si="0"/>
        <v>4</v>
      </c>
    </row>
    <row r="17" spans="1:5" x14ac:dyDescent="0.25">
      <c r="A17" s="241"/>
      <c r="B17" s="19" t="s">
        <v>22</v>
      </c>
      <c r="C17" s="13">
        <v>7.5</v>
      </c>
      <c r="D17" s="66">
        <v>20</v>
      </c>
      <c r="E17" s="13">
        <v>135</v>
      </c>
    </row>
    <row r="18" spans="1:5" x14ac:dyDescent="0.25">
      <c r="A18" s="241"/>
      <c r="B18" s="19" t="s">
        <v>23</v>
      </c>
      <c r="C18" s="13">
        <v>6.1</v>
      </c>
      <c r="D18" s="66">
        <v>35</v>
      </c>
      <c r="E18" s="13">
        <v>190</v>
      </c>
    </row>
    <row r="19" spans="1:5" x14ac:dyDescent="0.25">
      <c r="A19" s="241"/>
      <c r="B19" s="19" t="s">
        <v>73</v>
      </c>
      <c r="C19" s="13">
        <v>2.5</v>
      </c>
      <c r="D19" s="66">
        <v>6</v>
      </c>
      <c r="E19" s="13">
        <f t="shared" si="0"/>
        <v>15</v>
      </c>
    </row>
    <row r="20" spans="1:5" ht="25.5" x14ac:dyDescent="0.25">
      <c r="A20" s="241"/>
      <c r="B20" s="19" t="s">
        <v>74</v>
      </c>
      <c r="C20" s="13">
        <v>2</v>
      </c>
      <c r="D20" s="13">
        <v>6</v>
      </c>
      <c r="E20" s="13">
        <v>8</v>
      </c>
    </row>
    <row r="21" spans="1:5" x14ac:dyDescent="0.25">
      <c r="A21" s="234" t="s">
        <v>216</v>
      </c>
      <c r="B21" s="14" t="s">
        <v>213</v>
      </c>
      <c r="C21" s="13"/>
      <c r="D21" s="65"/>
      <c r="E21" s="13"/>
    </row>
    <row r="22" spans="1:5" x14ac:dyDescent="0.25">
      <c r="A22" s="235"/>
      <c r="B22" s="14" t="s">
        <v>24</v>
      </c>
      <c r="C22" s="13">
        <v>5</v>
      </c>
      <c r="D22" s="66">
        <v>40</v>
      </c>
      <c r="E22" s="13">
        <f t="shared" si="0"/>
        <v>200</v>
      </c>
    </row>
    <row r="23" spans="1:5" x14ac:dyDescent="0.25">
      <c r="A23" s="233" t="s">
        <v>25</v>
      </c>
      <c r="B23" s="14" t="s">
        <v>213</v>
      </c>
      <c r="C23" s="13"/>
      <c r="D23" s="65"/>
      <c r="E23" s="13"/>
    </row>
    <row r="24" spans="1:5" x14ac:dyDescent="0.25">
      <c r="A24" s="235"/>
      <c r="B24" s="14" t="s">
        <v>24</v>
      </c>
      <c r="C24" s="13">
        <v>5</v>
      </c>
      <c r="D24" s="66">
        <v>6</v>
      </c>
      <c r="E24" s="13">
        <f t="shared" si="0"/>
        <v>30</v>
      </c>
    </row>
    <row r="25" spans="1:5" x14ac:dyDescent="0.25">
      <c r="A25" s="219" t="s">
        <v>164</v>
      </c>
      <c r="B25" s="14" t="s">
        <v>213</v>
      </c>
      <c r="C25" s="13"/>
      <c r="D25" s="65"/>
      <c r="E25" s="13"/>
    </row>
    <row r="26" spans="1:5" x14ac:dyDescent="0.25">
      <c r="A26" s="230"/>
      <c r="B26" s="14" t="s">
        <v>24</v>
      </c>
      <c r="C26" s="13">
        <v>5</v>
      </c>
      <c r="D26" s="66">
        <v>50</v>
      </c>
      <c r="E26" s="13">
        <f t="shared" si="0"/>
        <v>250</v>
      </c>
    </row>
    <row r="27" spans="1:5" x14ac:dyDescent="0.25">
      <c r="A27" s="219" t="s">
        <v>26</v>
      </c>
      <c r="B27" s="14" t="s">
        <v>213</v>
      </c>
      <c r="C27" s="13"/>
      <c r="D27" s="65"/>
      <c r="E27" s="13"/>
    </row>
    <row r="28" spans="1:5" ht="25.5" x14ac:dyDescent="0.25">
      <c r="A28" s="220"/>
      <c r="B28" s="14" t="s">
        <v>27</v>
      </c>
      <c r="C28" s="13">
        <v>5</v>
      </c>
      <c r="D28" s="66">
        <v>10</v>
      </c>
      <c r="E28" s="13">
        <f t="shared" si="0"/>
        <v>50</v>
      </c>
    </row>
    <row r="29" spans="1:5" x14ac:dyDescent="0.25">
      <c r="A29" s="230"/>
      <c r="B29" s="14" t="s">
        <v>28</v>
      </c>
      <c r="C29" s="13">
        <v>5</v>
      </c>
      <c r="D29" s="66">
        <v>10</v>
      </c>
      <c r="E29" s="13">
        <f t="shared" si="0"/>
        <v>50</v>
      </c>
    </row>
    <row r="30" spans="1:5" x14ac:dyDescent="0.25">
      <c r="A30" s="233" t="s">
        <v>29</v>
      </c>
      <c r="B30" s="14" t="s">
        <v>213</v>
      </c>
      <c r="C30" s="13"/>
      <c r="D30" s="65"/>
      <c r="E30" s="13"/>
    </row>
    <row r="31" spans="1:5" x14ac:dyDescent="0.25">
      <c r="A31" s="235"/>
      <c r="B31" s="5" t="s">
        <v>24</v>
      </c>
      <c r="C31" s="6">
        <v>5</v>
      </c>
      <c r="D31" s="67">
        <v>38</v>
      </c>
      <c r="E31" s="13">
        <f t="shared" si="0"/>
        <v>190</v>
      </c>
    </row>
    <row r="32" spans="1:5" x14ac:dyDescent="0.25">
      <c r="A32" s="238" t="s">
        <v>30</v>
      </c>
      <c r="B32" s="14" t="s">
        <v>213</v>
      </c>
      <c r="C32" s="13"/>
      <c r="D32" s="65"/>
      <c r="E32" s="13"/>
    </row>
    <row r="33" spans="1:5" x14ac:dyDescent="0.25">
      <c r="A33" s="239"/>
      <c r="B33" s="5" t="s">
        <v>24</v>
      </c>
      <c r="C33" s="6">
        <v>5</v>
      </c>
      <c r="D33" s="67">
        <v>38</v>
      </c>
      <c r="E33" s="13">
        <f>+C33*D33</f>
        <v>190</v>
      </c>
    </row>
    <row r="34" spans="1:5" x14ac:dyDescent="0.25">
      <c r="A34" s="239"/>
      <c r="B34" s="14" t="s">
        <v>31</v>
      </c>
      <c r="C34" s="13">
        <v>1.5</v>
      </c>
      <c r="D34" s="66">
        <v>5</v>
      </c>
      <c r="E34" s="13">
        <v>8</v>
      </c>
    </row>
    <row r="35" spans="1:5" x14ac:dyDescent="0.25">
      <c r="A35" s="239"/>
      <c r="B35" s="14" t="s">
        <v>32</v>
      </c>
      <c r="C35" s="13">
        <v>1.5</v>
      </c>
      <c r="D35" s="66">
        <v>5</v>
      </c>
      <c r="E35" s="13">
        <v>8</v>
      </c>
    </row>
    <row r="36" spans="1:5" x14ac:dyDescent="0.25">
      <c r="A36" s="239"/>
      <c r="B36" s="14" t="s">
        <v>33</v>
      </c>
      <c r="C36" s="13">
        <v>1.5</v>
      </c>
      <c r="D36" s="66">
        <v>5</v>
      </c>
      <c r="E36" s="13">
        <v>8</v>
      </c>
    </row>
    <row r="37" spans="1:5" x14ac:dyDescent="0.25">
      <c r="A37" s="237" t="s">
        <v>165</v>
      </c>
      <c r="B37" s="14" t="s">
        <v>213</v>
      </c>
      <c r="C37" s="13"/>
      <c r="D37" s="65"/>
      <c r="E37" s="13"/>
    </row>
    <row r="38" spans="1:5" x14ac:dyDescent="0.25">
      <c r="A38" s="237"/>
      <c r="B38" s="19" t="s">
        <v>24</v>
      </c>
      <c r="C38" s="13">
        <v>5</v>
      </c>
      <c r="D38" s="66">
        <v>9</v>
      </c>
      <c r="E38" s="13">
        <f>+C38*D38</f>
        <v>45</v>
      </c>
    </row>
    <row r="39" spans="1:5" x14ac:dyDescent="0.25">
      <c r="A39" s="220" t="s">
        <v>34</v>
      </c>
      <c r="B39" s="14" t="s">
        <v>21</v>
      </c>
      <c r="C39" s="13">
        <v>4</v>
      </c>
      <c r="D39" s="65">
        <v>1</v>
      </c>
      <c r="E39" s="13">
        <f t="shared" ref="E39" si="1">+C39*D39</f>
        <v>4</v>
      </c>
    </row>
    <row r="40" spans="1:5" x14ac:dyDescent="0.25">
      <c r="A40" s="220"/>
      <c r="B40" s="14" t="s">
        <v>35</v>
      </c>
      <c r="C40" s="13">
        <v>5</v>
      </c>
      <c r="D40" s="66">
        <v>10</v>
      </c>
      <c r="E40" s="13">
        <f t="shared" si="0"/>
        <v>50</v>
      </c>
    </row>
    <row r="41" spans="1:5" x14ac:dyDescent="0.25">
      <c r="A41" s="230"/>
      <c r="B41" s="14" t="s">
        <v>71</v>
      </c>
      <c r="C41" s="13">
        <v>281.25</v>
      </c>
      <c r="D41" s="13">
        <v>13080</v>
      </c>
      <c r="E41" s="103">
        <f>D41/C41</f>
        <v>46.506666666666668</v>
      </c>
    </row>
    <row r="42" spans="1:5" x14ac:dyDescent="0.25">
      <c r="A42" s="219" t="s">
        <v>36</v>
      </c>
      <c r="B42" s="14" t="s">
        <v>37</v>
      </c>
      <c r="C42" s="13">
        <v>2</v>
      </c>
      <c r="D42" s="13">
        <f>3.75*3</f>
        <v>11.25</v>
      </c>
      <c r="E42" s="13">
        <f>+C42*D42</f>
        <v>22.5</v>
      </c>
    </row>
    <row r="43" spans="1:5" x14ac:dyDescent="0.25">
      <c r="A43" s="220"/>
      <c r="B43" s="5" t="s">
        <v>81</v>
      </c>
      <c r="C43" s="13">
        <v>1</v>
      </c>
      <c r="D43" s="13">
        <v>4</v>
      </c>
      <c r="E43" s="13">
        <f>+C43*D43</f>
        <v>4</v>
      </c>
    </row>
    <row r="44" spans="1:5" ht="15.75" thickBot="1" x14ac:dyDescent="0.3">
      <c r="A44" s="221"/>
      <c r="B44" s="16"/>
      <c r="C44" s="17"/>
      <c r="D44" s="17">
        <v>1726</v>
      </c>
      <c r="E44" s="20">
        <f>SUM(E11:E43)</f>
        <v>1611.0066666666667</v>
      </c>
    </row>
    <row r="45" spans="1:5" x14ac:dyDescent="0.25">
      <c r="A45" s="227" t="s">
        <v>82</v>
      </c>
      <c r="B45" s="228"/>
      <c r="C45" s="12"/>
      <c r="D45" s="12"/>
      <c r="E45" s="12"/>
    </row>
    <row r="46" spans="1:5" x14ac:dyDescent="0.25">
      <c r="A46" s="219" t="s">
        <v>38</v>
      </c>
      <c r="B46" s="14" t="s">
        <v>204</v>
      </c>
      <c r="C46" s="13">
        <v>13</v>
      </c>
      <c r="D46" s="65">
        <v>1</v>
      </c>
      <c r="E46" s="13">
        <f>+C46*D46</f>
        <v>13</v>
      </c>
    </row>
    <row r="47" spans="1:5" x14ac:dyDescent="0.25">
      <c r="A47" s="220"/>
      <c r="B47" s="14" t="s">
        <v>72</v>
      </c>
      <c r="C47" s="13">
        <v>12</v>
      </c>
      <c r="D47" s="65">
        <v>1</v>
      </c>
      <c r="E47" s="13">
        <f>+C47*D47</f>
        <v>12</v>
      </c>
    </row>
    <row r="48" spans="1:5" x14ac:dyDescent="0.25">
      <c r="A48" s="220"/>
      <c r="B48" s="14" t="s">
        <v>170</v>
      </c>
      <c r="C48" s="13"/>
      <c r="D48" s="65"/>
      <c r="E48" s="13">
        <v>6</v>
      </c>
    </row>
    <row r="49" spans="1:5" x14ac:dyDescent="0.25">
      <c r="A49" s="220"/>
      <c r="B49" s="14" t="s">
        <v>39</v>
      </c>
      <c r="C49" s="13"/>
      <c r="D49" s="13"/>
      <c r="E49" s="82">
        <v>12</v>
      </c>
    </row>
    <row r="50" spans="1:5" x14ac:dyDescent="0.25">
      <c r="A50" s="220"/>
      <c r="B50" s="14" t="s">
        <v>40</v>
      </c>
      <c r="C50" s="13"/>
      <c r="D50" s="13"/>
      <c r="E50" s="60">
        <v>4</v>
      </c>
    </row>
    <row r="51" spans="1:5" ht="25.5" x14ac:dyDescent="0.25">
      <c r="A51" s="220"/>
      <c r="B51" s="14" t="s">
        <v>190</v>
      </c>
      <c r="C51" s="101">
        <v>7.5</v>
      </c>
      <c r="D51" s="102">
        <v>1</v>
      </c>
      <c r="E51" s="236">
        <f>C51*(D51+D52+D53+D54+D55+D56+D57)</f>
        <v>112.5</v>
      </c>
    </row>
    <row r="52" spans="1:5" ht="25.5" x14ac:dyDescent="0.25">
      <c r="A52" s="220"/>
      <c r="B52" s="14" t="s">
        <v>191</v>
      </c>
      <c r="C52" s="101">
        <v>7.5</v>
      </c>
      <c r="D52" s="102">
        <v>2</v>
      </c>
      <c r="E52" s="236"/>
    </row>
    <row r="53" spans="1:5" ht="25.5" x14ac:dyDescent="0.25">
      <c r="A53" s="220"/>
      <c r="B53" s="14" t="s">
        <v>192</v>
      </c>
      <c r="C53" s="101">
        <v>7.5</v>
      </c>
      <c r="D53" s="102">
        <v>1</v>
      </c>
      <c r="E53" s="236"/>
    </row>
    <row r="54" spans="1:5" ht="25.5" x14ac:dyDescent="0.25">
      <c r="A54" s="220"/>
      <c r="B54" s="14" t="s">
        <v>193</v>
      </c>
      <c r="C54" s="101">
        <v>7.5</v>
      </c>
      <c r="D54" s="102">
        <v>2</v>
      </c>
      <c r="E54" s="236"/>
    </row>
    <row r="55" spans="1:5" ht="25.5" x14ac:dyDescent="0.25">
      <c r="A55" s="220"/>
      <c r="B55" s="14" t="s">
        <v>194</v>
      </c>
      <c r="C55" s="101">
        <v>7.5</v>
      </c>
      <c r="D55" s="102">
        <v>1</v>
      </c>
      <c r="E55" s="236"/>
    </row>
    <row r="56" spans="1:5" ht="25.5" x14ac:dyDescent="0.25">
      <c r="A56" s="220"/>
      <c r="B56" s="14" t="s">
        <v>195</v>
      </c>
      <c r="C56" s="101">
        <v>7.5</v>
      </c>
      <c r="D56" s="102">
        <v>1</v>
      </c>
      <c r="E56" s="236"/>
    </row>
    <row r="57" spans="1:5" ht="25.5" x14ac:dyDescent="0.25">
      <c r="A57" s="220"/>
      <c r="B57" s="14" t="s">
        <v>196</v>
      </c>
      <c r="C57" s="101">
        <v>7.5</v>
      </c>
      <c r="D57" s="102">
        <v>7</v>
      </c>
      <c r="E57" s="236"/>
    </row>
    <row r="58" spans="1:5" x14ac:dyDescent="0.25">
      <c r="A58" s="230"/>
      <c r="B58" s="14" t="s">
        <v>171</v>
      </c>
      <c r="C58" s="13"/>
      <c r="D58" s="13"/>
      <c r="E58" s="111">
        <v>2.2999999999999998</v>
      </c>
    </row>
    <row r="59" spans="1:5" x14ac:dyDescent="0.25">
      <c r="A59" s="225" t="s">
        <v>41</v>
      </c>
      <c r="B59" s="14" t="s">
        <v>42</v>
      </c>
      <c r="C59" s="13">
        <v>7.5</v>
      </c>
      <c r="D59" s="65">
        <v>5</v>
      </c>
      <c r="E59" s="13">
        <f>+C59*D59</f>
        <v>37.5</v>
      </c>
    </row>
    <row r="60" spans="1:5" x14ac:dyDescent="0.25">
      <c r="A60" s="226"/>
      <c r="B60" s="14" t="s">
        <v>43</v>
      </c>
      <c r="C60" s="13">
        <v>2</v>
      </c>
      <c r="D60" s="65">
        <v>2</v>
      </c>
      <c r="E60" s="13">
        <f>+C60*D60</f>
        <v>4</v>
      </c>
    </row>
    <row r="61" spans="1:5" x14ac:dyDescent="0.25">
      <c r="A61" s="225" t="s">
        <v>44</v>
      </c>
      <c r="B61" s="14" t="s">
        <v>94</v>
      </c>
      <c r="C61" s="13">
        <v>281.25</v>
      </c>
      <c r="D61" s="13">
        <v>15000</v>
      </c>
      <c r="E61" s="103">
        <f>D61/C61</f>
        <v>53.333333333333336</v>
      </c>
    </row>
    <row r="62" spans="1:5" x14ac:dyDescent="0.25">
      <c r="A62" s="226"/>
      <c r="B62" s="14" t="s">
        <v>45</v>
      </c>
      <c r="C62" s="13">
        <v>40</v>
      </c>
      <c r="D62" s="65">
        <v>2</v>
      </c>
      <c r="E62" s="13">
        <f>+C62*D62</f>
        <v>80</v>
      </c>
    </row>
    <row r="63" spans="1:5" x14ac:dyDescent="0.25">
      <c r="A63" s="170" t="s">
        <v>218</v>
      </c>
      <c r="B63" s="14" t="s">
        <v>166</v>
      </c>
      <c r="C63" s="13"/>
      <c r="D63" s="13"/>
      <c r="E63" s="13">
        <v>35</v>
      </c>
    </row>
    <row r="64" spans="1:5" ht="15.75" thickBot="1" x14ac:dyDescent="0.3">
      <c r="A64" s="171"/>
      <c r="B64" s="23"/>
      <c r="C64" s="23"/>
      <c r="D64" s="23"/>
      <c r="E64" s="61">
        <f>SUM(E46:E63)</f>
        <v>371.63333333333333</v>
      </c>
    </row>
    <row r="65" spans="1:5" x14ac:dyDescent="0.25">
      <c r="A65" s="172" t="s">
        <v>93</v>
      </c>
      <c r="B65" s="163"/>
      <c r="C65" s="12"/>
      <c r="D65" s="12"/>
      <c r="E65" s="12"/>
    </row>
    <row r="66" spans="1:5" x14ac:dyDescent="0.25">
      <c r="A66" s="173"/>
      <c r="B66" s="28" t="s">
        <v>5</v>
      </c>
      <c r="C66" s="29"/>
      <c r="D66" s="29"/>
      <c r="E66" s="31">
        <f>+E9</f>
        <v>73.599999999999994</v>
      </c>
    </row>
    <row r="67" spans="1:5" x14ac:dyDescent="0.25">
      <c r="A67" s="173"/>
      <c r="B67" s="28" t="s">
        <v>13</v>
      </c>
      <c r="C67" s="29"/>
      <c r="D67" s="29"/>
      <c r="E67" s="31">
        <f>+E44</f>
        <v>1611.0066666666667</v>
      </c>
    </row>
    <row r="68" spans="1:5" x14ac:dyDescent="0.25">
      <c r="A68" s="173"/>
      <c r="B68" s="28" t="s">
        <v>55</v>
      </c>
      <c r="C68" s="29"/>
      <c r="D68" s="29"/>
      <c r="E68" s="31">
        <f>+E64</f>
        <v>371.63333333333333</v>
      </c>
    </row>
    <row r="69" spans="1:5" x14ac:dyDescent="0.25">
      <c r="A69" s="174" t="s">
        <v>56</v>
      </c>
      <c r="B69" s="35"/>
      <c r="C69" s="36"/>
      <c r="D69" s="36"/>
      <c r="E69" s="37">
        <f>SUM(E66:E68)</f>
        <v>2056.2399999999998</v>
      </c>
    </row>
    <row r="70" spans="1:5" x14ac:dyDescent="0.25">
      <c r="A70" s="174" t="s">
        <v>57</v>
      </c>
      <c r="B70" s="34" t="s">
        <v>58</v>
      </c>
      <c r="C70" s="38">
        <v>0.35</v>
      </c>
      <c r="D70" s="36"/>
      <c r="E70" s="37">
        <f>0.35*E69</f>
        <v>719.68399999999986</v>
      </c>
    </row>
    <row r="71" spans="1:5" ht="15.75" thickBot="1" x14ac:dyDescent="0.3">
      <c r="A71" s="175"/>
      <c r="B71" s="176"/>
      <c r="C71" s="145"/>
      <c r="D71" s="145"/>
      <c r="E71" s="145"/>
    </row>
    <row r="72" spans="1:5" ht="16.5" thickBot="1" x14ac:dyDescent="0.3">
      <c r="A72" s="178" t="s">
        <v>59</v>
      </c>
      <c r="B72" s="40"/>
      <c r="C72" s="41"/>
      <c r="D72" s="41"/>
      <c r="E72" s="42">
        <f>+E69+E70</f>
        <v>2775.9239999999995</v>
      </c>
    </row>
    <row r="73" spans="1:5" x14ac:dyDescent="0.25">
      <c r="A73" s="175" t="s">
        <v>160</v>
      </c>
      <c r="B73" s="176"/>
      <c r="C73" s="145"/>
      <c r="D73" s="145"/>
      <c r="E73" s="179">
        <f>E8+E11+E14+E15+E16+E21+E23+E25+E27+E30+E32+E37+E39+E46+E47+E49+E51+E59</f>
        <v>273</v>
      </c>
    </row>
    <row r="74" spans="1:5" x14ac:dyDescent="0.25">
      <c r="A74" s="180" t="s">
        <v>63</v>
      </c>
      <c r="B74" s="98"/>
      <c r="C74" s="164"/>
      <c r="D74" s="164"/>
      <c r="E74" s="164"/>
    </row>
    <row r="75" spans="1:5" x14ac:dyDescent="0.25">
      <c r="A75" s="216" t="s">
        <v>64</v>
      </c>
      <c r="B75" s="217"/>
      <c r="C75" s="218"/>
      <c r="D75" s="68">
        <f>D40+D38+D36+D35+D34+D33+D31+D29+D28+D26+D24+D22+D19+D18+D17++D15+D14+D13+D6</f>
        <v>373</v>
      </c>
      <c r="E75" s="50"/>
    </row>
    <row r="76" spans="1:5" x14ac:dyDescent="0.25">
      <c r="A76" s="216" t="s">
        <v>65</v>
      </c>
      <c r="B76" s="217"/>
      <c r="C76" s="218"/>
      <c r="D76" s="100">
        <f>D62+D60+D59+D57++D55+D51+D47+D46+D39+D37+D32+D30+D27+D25+D23+D21+D16+D11+D8</f>
        <v>27</v>
      </c>
      <c r="E76" s="51"/>
    </row>
    <row r="77" spans="1:5" ht="15.75" thickBot="1" x14ac:dyDescent="0.3">
      <c r="A77" s="222" t="s">
        <v>63</v>
      </c>
      <c r="B77" s="223"/>
      <c r="C77" s="224"/>
      <c r="D77" s="183">
        <f>SUM(D75:D76)</f>
        <v>400</v>
      </c>
      <c r="E77" s="184"/>
    </row>
    <row r="78" spans="1:5" x14ac:dyDescent="0.25">
      <c r="A78" s="160" t="s">
        <v>214</v>
      </c>
      <c r="B78" s="229" t="s">
        <v>212</v>
      </c>
      <c r="C78" s="229"/>
      <c r="D78" s="229"/>
      <c r="E78" s="229"/>
    </row>
    <row r="79" spans="1:5" x14ac:dyDescent="0.25">
      <c r="B79" s="229"/>
      <c r="C79" s="229"/>
      <c r="D79" s="229"/>
      <c r="E79" s="229"/>
    </row>
    <row r="80" spans="1:5" x14ac:dyDescent="0.25">
      <c r="B80" s="229"/>
      <c r="C80" s="229"/>
      <c r="D80" s="229"/>
      <c r="E80" s="229"/>
    </row>
    <row r="81" spans="2:5" x14ac:dyDescent="0.25">
      <c r="B81" s="104"/>
      <c r="C81" s="86"/>
      <c r="D81" s="86"/>
      <c r="E81" s="86"/>
    </row>
    <row r="82" spans="2:5" x14ac:dyDescent="0.25">
      <c r="B82" s="104"/>
      <c r="C82" s="86"/>
      <c r="D82" s="86"/>
      <c r="E82" s="86"/>
    </row>
    <row r="83" spans="2:5" x14ac:dyDescent="0.25">
      <c r="B83" s="104"/>
      <c r="C83" s="86"/>
      <c r="D83" s="86"/>
      <c r="E83" s="86"/>
    </row>
    <row r="84" spans="2:5" x14ac:dyDescent="0.25">
      <c r="B84" s="104"/>
      <c r="C84" s="86"/>
      <c r="D84" s="86"/>
      <c r="E84" s="86"/>
    </row>
    <row r="85" spans="2:5" x14ac:dyDescent="0.25">
      <c r="B85" s="104"/>
      <c r="C85" s="86"/>
      <c r="D85" s="86"/>
      <c r="E85" s="86"/>
    </row>
    <row r="86" spans="2:5" x14ac:dyDescent="0.25">
      <c r="B86" s="104"/>
      <c r="C86" s="86"/>
      <c r="D86" s="86"/>
      <c r="E86" s="86"/>
    </row>
    <row r="87" spans="2:5" x14ac:dyDescent="0.25">
      <c r="B87" s="104"/>
      <c r="C87" s="86"/>
      <c r="D87" s="86"/>
      <c r="E87" s="86"/>
    </row>
    <row r="88" spans="2:5" x14ac:dyDescent="0.25">
      <c r="B88" s="104"/>
      <c r="C88" s="86"/>
      <c r="D88" s="86"/>
      <c r="E88" s="86"/>
    </row>
    <row r="89" spans="2:5" x14ac:dyDescent="0.25">
      <c r="B89" s="104"/>
      <c r="C89" s="86"/>
      <c r="D89" s="86"/>
      <c r="E89" s="86"/>
    </row>
    <row r="90" spans="2:5" x14ac:dyDescent="0.25">
      <c r="B90" s="104"/>
      <c r="C90" s="86"/>
      <c r="D90" s="86"/>
      <c r="E90" s="86"/>
    </row>
    <row r="91" spans="2:5" x14ac:dyDescent="0.25">
      <c r="B91" s="104"/>
      <c r="C91" s="86"/>
      <c r="D91" s="86"/>
      <c r="E91" s="86"/>
    </row>
    <row r="92" spans="2:5" x14ac:dyDescent="0.25">
      <c r="B92" s="104"/>
      <c r="C92" s="86"/>
      <c r="D92" s="86"/>
      <c r="E92" s="86"/>
    </row>
    <row r="93" spans="2:5" x14ac:dyDescent="0.25">
      <c r="B93" s="104"/>
      <c r="C93" s="86"/>
      <c r="D93" s="86"/>
      <c r="E93" s="86"/>
    </row>
    <row r="94" spans="2:5" x14ac:dyDescent="0.25">
      <c r="B94" s="104"/>
      <c r="C94" s="86"/>
      <c r="D94" s="105"/>
      <c r="E94" s="86"/>
    </row>
    <row r="95" spans="2:5" x14ac:dyDescent="0.25">
      <c r="B95" s="104"/>
      <c r="C95" s="86"/>
      <c r="D95" s="105"/>
      <c r="E95" s="86"/>
    </row>
    <row r="96" spans="2:5" x14ac:dyDescent="0.25">
      <c r="B96" s="104"/>
      <c r="C96" s="86"/>
      <c r="D96" s="105"/>
      <c r="E96" s="86"/>
    </row>
    <row r="97" spans="2:5" x14ac:dyDescent="0.25">
      <c r="B97" s="104"/>
      <c r="C97" s="86"/>
      <c r="D97" s="105"/>
      <c r="E97" s="86"/>
    </row>
    <row r="98" spans="2:5" x14ac:dyDescent="0.25">
      <c r="B98" s="104"/>
      <c r="C98" s="86"/>
      <c r="D98" s="105"/>
      <c r="E98" s="86"/>
    </row>
    <row r="99" spans="2:5" x14ac:dyDescent="0.25">
      <c r="B99" s="104"/>
      <c r="C99" s="86"/>
      <c r="D99" s="105"/>
      <c r="E99" s="86"/>
    </row>
    <row r="100" spans="2:5" x14ac:dyDescent="0.25">
      <c r="B100" s="104"/>
      <c r="C100" s="86"/>
      <c r="D100" s="105"/>
      <c r="E100" s="86"/>
    </row>
    <row r="101" spans="2:5" x14ac:dyDescent="0.25">
      <c r="B101" s="104"/>
      <c r="C101" s="86"/>
      <c r="D101" s="86"/>
      <c r="E101" s="86"/>
    </row>
    <row r="102" spans="2:5" x14ac:dyDescent="0.25">
      <c r="B102" s="104"/>
      <c r="C102" s="86"/>
      <c r="D102" s="86"/>
      <c r="E102" s="86"/>
    </row>
  </sheetData>
  <mergeCells count="23">
    <mergeCell ref="B78:E80"/>
    <mergeCell ref="A39:A41"/>
    <mergeCell ref="A46:A58"/>
    <mergeCell ref="A5:B5"/>
    <mergeCell ref="A6:A8"/>
    <mergeCell ref="A10:B10"/>
    <mergeCell ref="A11:A14"/>
    <mergeCell ref="E51:E57"/>
    <mergeCell ref="A30:A31"/>
    <mergeCell ref="A37:A38"/>
    <mergeCell ref="A32:A36"/>
    <mergeCell ref="A27:A29"/>
    <mergeCell ref="A16:A20"/>
    <mergeCell ref="A21:A22"/>
    <mergeCell ref="A23:A24"/>
    <mergeCell ref="A25:A26"/>
    <mergeCell ref="A75:C75"/>
    <mergeCell ref="A42:A44"/>
    <mergeCell ref="A76:C76"/>
    <mergeCell ref="A77:C77"/>
    <mergeCell ref="A59:A60"/>
    <mergeCell ref="A61:A62"/>
    <mergeCell ref="A45:B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zoomScale="80" zoomScaleNormal="80" workbookViewId="0">
      <pane ySplit="2" topLeftCell="A45" activePane="bottomLeft" state="frozen"/>
      <selection pane="bottomLeft" activeCell="G68" sqref="G68"/>
    </sheetView>
  </sheetViews>
  <sheetFormatPr baseColWidth="10" defaultRowHeight="12.75" x14ac:dyDescent="0.2"/>
  <cols>
    <col min="1" max="2" width="22.42578125" style="27" customWidth="1"/>
    <col min="3" max="3" width="11.85546875" style="27" customWidth="1"/>
    <col min="4" max="4" width="11.42578125" style="27" customWidth="1"/>
    <col min="5" max="5" width="10" style="27" customWidth="1"/>
    <col min="6" max="16384" width="11.42578125" style="27"/>
  </cols>
  <sheetData>
    <row r="1" spans="1:5" ht="13.5" thickBot="1" x14ac:dyDescent="0.25">
      <c r="A1" s="242" t="s">
        <v>68</v>
      </c>
      <c r="B1" s="242"/>
      <c r="C1" s="242"/>
      <c r="D1" s="242"/>
      <c r="E1" s="242"/>
    </row>
    <row r="2" spans="1:5" ht="63.75" x14ac:dyDescent="0.2">
      <c r="A2" s="126" t="s">
        <v>0</v>
      </c>
      <c r="B2" s="127" t="s">
        <v>1</v>
      </c>
      <c r="C2" s="127" t="s">
        <v>2</v>
      </c>
      <c r="D2" s="127" t="s">
        <v>3</v>
      </c>
      <c r="E2" s="127" t="s">
        <v>4</v>
      </c>
    </row>
    <row r="3" spans="1:5" x14ac:dyDescent="0.2">
      <c r="A3" s="128"/>
      <c r="B3" s="128"/>
      <c r="C3" s="128"/>
      <c r="D3" s="128"/>
      <c r="E3" s="128"/>
    </row>
    <row r="4" spans="1:5" x14ac:dyDescent="0.2">
      <c r="A4" s="251" t="s">
        <v>5</v>
      </c>
      <c r="B4" s="232"/>
      <c r="C4" s="4"/>
      <c r="D4" s="4"/>
      <c r="E4" s="4"/>
    </row>
    <row r="5" spans="1:5" x14ac:dyDescent="0.2">
      <c r="A5" s="252" t="s">
        <v>6</v>
      </c>
      <c r="B5" s="14" t="s">
        <v>7</v>
      </c>
      <c r="C5" s="6">
        <v>0.8</v>
      </c>
      <c r="D5" s="67">
        <v>36</v>
      </c>
      <c r="E5" s="64">
        <f>+C5*D5</f>
        <v>28.8</v>
      </c>
    </row>
    <row r="6" spans="1:5" x14ac:dyDescent="0.2">
      <c r="A6" s="253"/>
      <c r="B6" s="14" t="s">
        <v>209</v>
      </c>
      <c r="C6" s="6"/>
      <c r="D6" s="6"/>
      <c r="E6" s="6">
        <v>8</v>
      </c>
    </row>
    <row r="7" spans="1:5" x14ac:dyDescent="0.2">
      <c r="A7" s="254"/>
      <c r="B7" s="14" t="s">
        <v>9</v>
      </c>
      <c r="C7" s="6">
        <v>2</v>
      </c>
      <c r="D7" s="64">
        <v>2</v>
      </c>
      <c r="E7" s="6">
        <f>+C7*D7</f>
        <v>4</v>
      </c>
    </row>
    <row r="8" spans="1:5" ht="13.5" thickBot="1" x14ac:dyDescent="0.25">
      <c r="A8" s="7"/>
      <c r="B8" s="8"/>
      <c r="C8" s="9"/>
      <c r="D8" s="9"/>
      <c r="E8" s="10">
        <f>SUM(E5:E7)</f>
        <v>40.799999999999997</v>
      </c>
    </row>
    <row r="9" spans="1:5" x14ac:dyDescent="0.2">
      <c r="A9" s="255" t="s">
        <v>83</v>
      </c>
      <c r="B9" s="228"/>
      <c r="C9" s="12"/>
      <c r="D9" s="12"/>
      <c r="E9" s="12"/>
    </row>
    <row r="10" spans="1:5" x14ac:dyDescent="0.2">
      <c r="A10" s="246" t="s">
        <v>76</v>
      </c>
      <c r="B10" s="14" t="s">
        <v>77</v>
      </c>
      <c r="C10" s="6">
        <v>4</v>
      </c>
      <c r="D10" s="64">
        <v>2</v>
      </c>
      <c r="E10" s="13">
        <f>+C10*D10</f>
        <v>8</v>
      </c>
    </row>
    <row r="11" spans="1:5" ht="25.5" x14ac:dyDescent="0.2">
      <c r="A11" s="247"/>
      <c r="B11" s="14" t="s">
        <v>210</v>
      </c>
      <c r="C11" s="6">
        <v>5</v>
      </c>
      <c r="D11" s="67">
        <v>8</v>
      </c>
      <c r="E11" s="13">
        <f t="shared" ref="E11:E17" si="0">+C11*D11</f>
        <v>40</v>
      </c>
    </row>
    <row r="12" spans="1:5" ht="25.5" x14ac:dyDescent="0.2">
      <c r="A12" s="247"/>
      <c r="B12" s="14" t="s">
        <v>78</v>
      </c>
      <c r="C12" s="6">
        <v>5</v>
      </c>
      <c r="D12" s="67">
        <v>4</v>
      </c>
      <c r="E12" s="13">
        <f t="shared" si="0"/>
        <v>20</v>
      </c>
    </row>
    <row r="13" spans="1:5" x14ac:dyDescent="0.2">
      <c r="A13" s="247"/>
      <c r="B13" s="14" t="s">
        <v>79</v>
      </c>
      <c r="C13" s="6">
        <v>5</v>
      </c>
      <c r="D13" s="67">
        <v>6</v>
      </c>
      <c r="E13" s="13">
        <f t="shared" si="0"/>
        <v>30</v>
      </c>
    </row>
    <row r="14" spans="1:5" x14ac:dyDescent="0.2">
      <c r="A14" s="247"/>
      <c r="B14" s="14" t="s">
        <v>169</v>
      </c>
      <c r="C14" s="6"/>
      <c r="D14" s="67"/>
      <c r="E14" s="65">
        <v>4</v>
      </c>
    </row>
    <row r="15" spans="1:5" x14ac:dyDescent="0.2">
      <c r="A15" s="247"/>
      <c r="B15" s="14" t="s">
        <v>80</v>
      </c>
      <c r="C15" s="13">
        <v>4</v>
      </c>
      <c r="D15" s="66">
        <v>6</v>
      </c>
      <c r="E15" s="13">
        <f t="shared" si="0"/>
        <v>24</v>
      </c>
    </row>
    <row r="16" spans="1:5" x14ac:dyDescent="0.2">
      <c r="A16" s="247"/>
      <c r="B16" s="14" t="s">
        <v>176</v>
      </c>
      <c r="C16" s="13">
        <v>2</v>
      </c>
      <c r="D16" s="13">
        <v>2</v>
      </c>
      <c r="E16" s="13">
        <f>+C16*D16</f>
        <v>4</v>
      </c>
    </row>
    <row r="17" spans="1:5" x14ac:dyDescent="0.2">
      <c r="A17" s="247"/>
      <c r="B17" s="14" t="s">
        <v>177</v>
      </c>
      <c r="C17" s="13">
        <v>1</v>
      </c>
      <c r="D17" s="13">
        <v>4</v>
      </c>
      <c r="E17" s="13">
        <f t="shared" si="0"/>
        <v>4</v>
      </c>
    </row>
    <row r="18" spans="1:5" ht="13.5" thickBot="1" x14ac:dyDescent="0.25">
      <c r="A18" s="15"/>
      <c r="B18" s="16"/>
      <c r="C18" s="17"/>
      <c r="D18" s="17"/>
      <c r="E18" s="20">
        <f>SUM(E10:E17)</f>
        <v>134</v>
      </c>
    </row>
    <row r="19" spans="1:5" ht="25.5" x14ac:dyDescent="0.2">
      <c r="A19" s="124" t="s">
        <v>84</v>
      </c>
      <c r="B19" s="125"/>
      <c r="C19" s="12"/>
      <c r="D19" s="12"/>
      <c r="E19" s="12"/>
    </row>
    <row r="20" spans="1:5" x14ac:dyDescent="0.2">
      <c r="A20" s="248" t="s">
        <v>38</v>
      </c>
      <c r="B20" s="14" t="s">
        <v>204</v>
      </c>
      <c r="C20" s="13">
        <v>13</v>
      </c>
      <c r="D20" s="65">
        <v>1</v>
      </c>
      <c r="E20" s="13">
        <f>+C20*D20</f>
        <v>13</v>
      </c>
    </row>
    <row r="21" spans="1:5" x14ac:dyDescent="0.2">
      <c r="A21" s="249"/>
      <c r="B21" s="14" t="s">
        <v>107</v>
      </c>
      <c r="C21" s="13">
        <v>12</v>
      </c>
      <c r="D21" s="65">
        <v>1</v>
      </c>
      <c r="E21" s="13">
        <f>+C21*D21</f>
        <v>12</v>
      </c>
    </row>
    <row r="22" spans="1:5" ht="25.5" x14ac:dyDescent="0.2">
      <c r="A22" s="249"/>
      <c r="B22" s="14" t="s">
        <v>85</v>
      </c>
      <c r="C22" s="13">
        <v>9</v>
      </c>
      <c r="D22" s="65">
        <v>1</v>
      </c>
      <c r="E22" s="13">
        <f>+C22*D22</f>
        <v>9</v>
      </c>
    </row>
    <row r="23" spans="1:5" x14ac:dyDescent="0.2">
      <c r="A23" s="249"/>
      <c r="B23" s="14" t="s">
        <v>39</v>
      </c>
      <c r="C23" s="13"/>
      <c r="D23" s="13"/>
      <c r="E23" s="13">
        <v>12</v>
      </c>
    </row>
    <row r="24" spans="1:5" x14ac:dyDescent="0.2">
      <c r="A24" s="249"/>
      <c r="B24" s="14" t="s">
        <v>40</v>
      </c>
      <c r="C24" s="13"/>
      <c r="D24" s="13"/>
      <c r="E24" s="13">
        <v>4</v>
      </c>
    </row>
    <row r="25" spans="1:5" x14ac:dyDescent="0.2">
      <c r="A25" s="249"/>
      <c r="B25" s="14" t="s">
        <v>86</v>
      </c>
      <c r="C25" s="13"/>
      <c r="D25" s="13"/>
      <c r="E25" s="13">
        <v>2</v>
      </c>
    </row>
    <row r="26" spans="1:5" x14ac:dyDescent="0.2">
      <c r="A26" s="249"/>
      <c r="B26" s="14" t="s">
        <v>87</v>
      </c>
      <c r="C26" s="13"/>
      <c r="D26" s="13"/>
      <c r="E26" s="13">
        <v>4</v>
      </c>
    </row>
    <row r="27" spans="1:5" x14ac:dyDescent="0.2">
      <c r="A27" s="249"/>
      <c r="B27" s="14" t="s">
        <v>89</v>
      </c>
      <c r="C27" s="13"/>
      <c r="D27" s="13"/>
      <c r="E27" s="13">
        <f>50/6.25</f>
        <v>8</v>
      </c>
    </row>
    <row r="28" spans="1:5" x14ac:dyDescent="0.2">
      <c r="A28" s="250"/>
      <c r="B28" s="14" t="s">
        <v>88</v>
      </c>
      <c r="C28" s="13"/>
      <c r="D28" s="13"/>
      <c r="E28" s="13">
        <v>2</v>
      </c>
    </row>
    <row r="29" spans="1:5" ht="13.5" thickBot="1" x14ac:dyDescent="0.25">
      <c r="A29" s="15"/>
      <c r="B29" s="16"/>
      <c r="C29" s="17"/>
      <c r="D29" s="17"/>
      <c r="E29" s="20">
        <f>SUM(E20:E28)</f>
        <v>66</v>
      </c>
    </row>
    <row r="30" spans="1:5" x14ac:dyDescent="0.2">
      <c r="A30" s="124" t="s">
        <v>219</v>
      </c>
      <c r="B30" s="125"/>
      <c r="C30" s="12"/>
      <c r="D30" s="12"/>
      <c r="E30" s="12"/>
    </row>
    <row r="31" spans="1:5" x14ac:dyDescent="0.2">
      <c r="A31" s="243" t="s">
        <v>90</v>
      </c>
      <c r="B31" s="14" t="s">
        <v>168</v>
      </c>
      <c r="C31" s="13">
        <v>7</v>
      </c>
      <c r="D31" s="65">
        <v>2</v>
      </c>
      <c r="E31" s="65">
        <f>+C31*D31</f>
        <v>14</v>
      </c>
    </row>
    <row r="32" spans="1:5" ht="25.5" x14ac:dyDescent="0.2">
      <c r="A32" s="244"/>
      <c r="B32" s="14" t="s">
        <v>178</v>
      </c>
      <c r="C32" s="13">
        <v>7</v>
      </c>
      <c r="D32" s="65">
        <v>4</v>
      </c>
      <c r="E32" s="13">
        <f>+C32*D32</f>
        <v>28</v>
      </c>
    </row>
    <row r="33" spans="1:5" ht="25.5" x14ac:dyDescent="0.2">
      <c r="A33" s="244"/>
      <c r="B33" s="14" t="s">
        <v>179</v>
      </c>
      <c r="C33" s="21">
        <v>5</v>
      </c>
      <c r="D33" s="70">
        <v>6</v>
      </c>
      <c r="E33" s="13">
        <f>+C33*D33</f>
        <v>30</v>
      </c>
    </row>
    <row r="34" spans="1:5" x14ac:dyDescent="0.2">
      <c r="A34" s="244"/>
      <c r="B34" s="14" t="s">
        <v>180</v>
      </c>
      <c r="C34" s="13">
        <v>7</v>
      </c>
      <c r="D34" s="70">
        <v>3</v>
      </c>
      <c r="E34" s="13">
        <f>+C34*D34</f>
        <v>21</v>
      </c>
    </row>
    <row r="35" spans="1:5" x14ac:dyDescent="0.2">
      <c r="A35" s="244"/>
      <c r="B35" s="14" t="s">
        <v>181</v>
      </c>
      <c r="C35" s="13"/>
      <c r="D35" s="13"/>
      <c r="E35" s="13">
        <f>50/6.25</f>
        <v>8</v>
      </c>
    </row>
    <row r="36" spans="1:5" x14ac:dyDescent="0.2">
      <c r="A36" s="245"/>
      <c r="B36" s="59" t="s">
        <v>161</v>
      </c>
      <c r="C36" s="60"/>
      <c r="D36" s="60"/>
      <c r="E36" s="79">
        <f>E54*0.01</f>
        <v>1.83</v>
      </c>
    </row>
    <row r="37" spans="1:5" x14ac:dyDescent="0.2">
      <c r="A37" s="243" t="s">
        <v>91</v>
      </c>
      <c r="B37" s="14" t="s">
        <v>182</v>
      </c>
      <c r="C37" s="21"/>
      <c r="D37" s="21"/>
      <c r="E37" s="13">
        <v>24</v>
      </c>
    </row>
    <row r="38" spans="1:5" x14ac:dyDescent="0.2">
      <c r="A38" s="244"/>
      <c r="B38" s="14" t="s">
        <v>183</v>
      </c>
      <c r="C38" s="21"/>
      <c r="D38" s="21"/>
      <c r="E38" s="13">
        <v>211</v>
      </c>
    </row>
    <row r="39" spans="1:5" x14ac:dyDescent="0.2">
      <c r="A39" s="244"/>
      <c r="B39" s="14" t="s">
        <v>184</v>
      </c>
      <c r="C39" s="13"/>
      <c r="D39" s="13"/>
      <c r="E39" s="13">
        <v>211</v>
      </c>
    </row>
    <row r="40" spans="1:5" x14ac:dyDescent="0.2">
      <c r="A40" s="244"/>
      <c r="B40" s="14" t="s">
        <v>185</v>
      </c>
      <c r="C40" s="13"/>
      <c r="D40" s="13"/>
      <c r="E40" s="13">
        <v>211</v>
      </c>
    </row>
    <row r="41" spans="1:5" x14ac:dyDescent="0.2">
      <c r="A41" s="244"/>
      <c r="B41" s="14" t="s">
        <v>186</v>
      </c>
      <c r="C41" s="13"/>
      <c r="D41" s="13"/>
      <c r="E41" s="13">
        <v>211</v>
      </c>
    </row>
    <row r="42" spans="1:5" x14ac:dyDescent="0.2">
      <c r="A42" s="244"/>
      <c r="B42" s="5" t="s">
        <v>187</v>
      </c>
      <c r="C42" s="13">
        <v>4</v>
      </c>
      <c r="D42" s="65">
        <v>2</v>
      </c>
      <c r="E42" s="13">
        <f>+C42*D42</f>
        <v>8</v>
      </c>
    </row>
    <row r="43" spans="1:5" ht="25.5" x14ac:dyDescent="0.2">
      <c r="A43" s="245"/>
      <c r="B43" s="14" t="s">
        <v>49</v>
      </c>
      <c r="C43" s="13"/>
      <c r="D43" s="13"/>
      <c r="E43" s="13">
        <v>30</v>
      </c>
    </row>
    <row r="44" spans="1:5" ht="13.5" thickBot="1" x14ac:dyDescent="0.25">
      <c r="A44" s="22"/>
      <c r="B44" s="23"/>
      <c r="C44" s="23"/>
      <c r="D44" s="23"/>
      <c r="E44" s="18">
        <f>SUM(E31:E43)</f>
        <v>1008.8299999999999</v>
      </c>
    </row>
    <row r="45" spans="1:5" x14ac:dyDescent="0.2">
      <c r="A45" s="124" t="s">
        <v>93</v>
      </c>
      <c r="B45" s="125"/>
      <c r="C45" s="12"/>
      <c r="D45" s="12"/>
      <c r="E45" s="12"/>
    </row>
    <row r="46" spans="1:5" x14ac:dyDescent="0.2">
      <c r="A46" s="28"/>
      <c r="B46" s="28" t="s">
        <v>5</v>
      </c>
      <c r="C46" s="29"/>
      <c r="D46" s="29"/>
      <c r="E46" s="30">
        <f>+E8</f>
        <v>40.799999999999997</v>
      </c>
    </row>
    <row r="47" spans="1:5" x14ac:dyDescent="0.2">
      <c r="A47" s="28"/>
      <c r="B47" s="28" t="s">
        <v>75</v>
      </c>
      <c r="C47" s="29"/>
      <c r="D47" s="29"/>
      <c r="E47" s="31">
        <f>+E18</f>
        <v>134</v>
      </c>
    </row>
    <row r="48" spans="1:5" x14ac:dyDescent="0.2">
      <c r="A48" s="28"/>
      <c r="B48" s="28" t="s">
        <v>55</v>
      </c>
      <c r="C48" s="29"/>
      <c r="D48" s="29"/>
      <c r="E48" s="30">
        <f>+E29</f>
        <v>66</v>
      </c>
    </row>
    <row r="49" spans="1:5" x14ac:dyDescent="0.2">
      <c r="A49" s="8"/>
      <c r="B49" s="8" t="s">
        <v>92</v>
      </c>
      <c r="C49" s="32"/>
      <c r="D49" s="32"/>
      <c r="E49" s="33">
        <f>E44</f>
        <v>1008.8299999999999</v>
      </c>
    </row>
    <row r="50" spans="1:5" x14ac:dyDescent="0.2">
      <c r="A50" s="34" t="s">
        <v>56</v>
      </c>
      <c r="B50" s="35"/>
      <c r="C50" s="36"/>
      <c r="D50" s="36"/>
      <c r="E50" s="37">
        <f>SUM(E46:E49)</f>
        <v>1249.6299999999999</v>
      </c>
    </row>
    <row r="51" spans="1:5" x14ac:dyDescent="0.2">
      <c r="A51" s="34" t="s">
        <v>57</v>
      </c>
      <c r="B51" s="34" t="s">
        <v>58</v>
      </c>
      <c r="C51" s="38">
        <v>0.35</v>
      </c>
      <c r="D51" s="36"/>
      <c r="E51" s="37">
        <f>0.35*E50</f>
        <v>437.37049999999994</v>
      </c>
    </row>
    <row r="52" spans="1:5" ht="13.5" thickBot="1" x14ac:dyDescent="0.25"/>
    <row r="53" spans="1:5" ht="13.5" thickBot="1" x14ac:dyDescent="0.25">
      <c r="A53" s="129" t="s">
        <v>59</v>
      </c>
      <c r="B53" s="118"/>
      <c r="C53" s="130"/>
      <c r="D53" s="130"/>
      <c r="E53" s="131">
        <f>+E50+E51</f>
        <v>1687.0004999999999</v>
      </c>
    </row>
    <row r="54" spans="1:5" x14ac:dyDescent="0.2">
      <c r="A54" s="27" t="s">
        <v>160</v>
      </c>
      <c r="E54" s="27">
        <f>E7+E10+E12+E15+E20+E21+E22+E32+E33+E34+E31</f>
        <v>183</v>
      </c>
    </row>
    <row r="55" spans="1:5" x14ac:dyDescent="0.2">
      <c r="A55" s="46"/>
      <c r="B55" s="47"/>
      <c r="C55" s="48"/>
      <c r="D55" s="48"/>
      <c r="E55" s="48"/>
    </row>
    <row r="56" spans="1:5" x14ac:dyDescent="0.2">
      <c r="A56" s="132" t="s">
        <v>63</v>
      </c>
      <c r="B56" s="133"/>
      <c r="C56" s="133"/>
      <c r="D56" s="133"/>
      <c r="E56" s="133"/>
    </row>
    <row r="57" spans="1:5" x14ac:dyDescent="0.2">
      <c r="A57" s="134" t="s">
        <v>64</v>
      </c>
      <c r="B57" s="135"/>
      <c r="C57" s="136"/>
      <c r="D57" s="137">
        <f>D5+D11+D12+D13+D15</f>
        <v>60</v>
      </c>
      <c r="E57" s="138"/>
    </row>
    <row r="58" spans="1:5" x14ac:dyDescent="0.2">
      <c r="A58" s="134" t="s">
        <v>65</v>
      </c>
      <c r="B58" s="135"/>
      <c r="C58" s="136"/>
      <c r="D58" s="139">
        <f>D34+D33+D32+D22+D21+D20+D10+D7</f>
        <v>20</v>
      </c>
      <c r="E58" s="138"/>
    </row>
    <row r="59" spans="1:5" x14ac:dyDescent="0.2">
      <c r="A59" s="140" t="s">
        <v>63</v>
      </c>
      <c r="B59" s="141"/>
      <c r="C59" s="142"/>
      <c r="D59" s="143">
        <f>SUM(D57:D57)</f>
        <v>60</v>
      </c>
      <c r="E59" s="144"/>
    </row>
    <row r="60" spans="1:5" x14ac:dyDescent="0.2">
      <c r="A60" s="145"/>
      <c r="B60" s="145"/>
      <c r="C60" s="145"/>
      <c r="D60" s="145"/>
      <c r="E60" s="145"/>
    </row>
    <row r="61" spans="1:5" x14ac:dyDescent="0.2">
      <c r="A61" s="145"/>
      <c r="B61" s="145"/>
      <c r="C61" s="145"/>
      <c r="D61" s="145"/>
      <c r="E61" s="145"/>
    </row>
    <row r="62" spans="1:5" x14ac:dyDescent="0.2">
      <c r="A62" s="119"/>
      <c r="B62" s="120"/>
      <c r="C62" s="120"/>
      <c r="D62" s="120"/>
      <c r="E62" s="145"/>
    </row>
    <row r="63" spans="1:5" x14ac:dyDescent="0.2">
      <c r="A63" s="119"/>
      <c r="B63" s="120"/>
      <c r="C63" s="120"/>
      <c r="D63" s="120"/>
      <c r="E63" s="121"/>
    </row>
    <row r="64" spans="1:5" x14ac:dyDescent="0.2">
      <c r="A64" s="119"/>
      <c r="B64" s="120"/>
      <c r="C64" s="120"/>
      <c r="D64" s="120"/>
      <c r="E64" s="121"/>
    </row>
    <row r="65" spans="1:5" x14ac:dyDescent="0.2">
      <c r="A65" s="145"/>
      <c r="B65" s="145"/>
      <c r="C65" s="145"/>
      <c r="D65" s="145"/>
      <c r="E65" s="121"/>
    </row>
    <row r="66" spans="1:5" x14ac:dyDescent="0.2">
      <c r="A66" s="145"/>
      <c r="B66" s="145"/>
      <c r="C66" s="145"/>
      <c r="D66" s="145"/>
      <c r="E66" s="121"/>
    </row>
    <row r="67" spans="1:5" x14ac:dyDescent="0.2">
      <c r="A67" s="145"/>
      <c r="B67" s="145"/>
      <c r="C67" s="145"/>
      <c r="D67" s="145"/>
      <c r="E67" s="121"/>
    </row>
    <row r="68" spans="1:5" x14ac:dyDescent="0.2">
      <c r="A68" s="145"/>
      <c r="B68" s="145"/>
      <c r="C68" s="145"/>
      <c r="D68" s="145"/>
      <c r="E68" s="121"/>
    </row>
    <row r="69" spans="1:5" x14ac:dyDescent="0.2">
      <c r="A69" s="145"/>
      <c r="B69" s="145"/>
      <c r="C69" s="145"/>
      <c r="D69" s="145"/>
      <c r="E69" s="121"/>
    </row>
    <row r="70" spans="1:5" x14ac:dyDescent="0.2">
      <c r="A70" s="145"/>
      <c r="B70" s="145"/>
      <c r="C70" s="145"/>
      <c r="D70" s="145"/>
      <c r="E70" s="121"/>
    </row>
    <row r="71" spans="1:5" x14ac:dyDescent="0.2">
      <c r="A71" s="145"/>
      <c r="B71" s="145"/>
      <c r="C71" s="145"/>
      <c r="D71" s="145"/>
      <c r="E71" s="121"/>
    </row>
    <row r="72" spans="1:5" x14ac:dyDescent="0.2">
      <c r="A72" s="145"/>
      <c r="B72" s="145"/>
      <c r="C72" s="145"/>
      <c r="D72" s="145"/>
      <c r="E72" s="121"/>
    </row>
    <row r="73" spans="1:5" x14ac:dyDescent="0.2">
      <c r="A73" s="145"/>
      <c r="B73" s="145"/>
      <c r="C73" s="145"/>
      <c r="D73" s="145"/>
      <c r="E73" s="121"/>
    </row>
    <row r="74" spans="1:5" x14ac:dyDescent="0.2">
      <c r="A74" s="145"/>
      <c r="B74" s="145"/>
      <c r="C74" s="145"/>
      <c r="D74" s="145"/>
      <c r="E74" s="121"/>
    </row>
    <row r="75" spans="1:5" x14ac:dyDescent="0.2">
      <c r="A75" s="145"/>
      <c r="B75" s="145"/>
      <c r="C75" s="145"/>
      <c r="D75" s="145"/>
      <c r="E75" s="121"/>
    </row>
    <row r="76" spans="1:5" x14ac:dyDescent="0.2">
      <c r="A76" s="145"/>
      <c r="B76" s="145"/>
      <c r="C76" s="145"/>
      <c r="D76" s="145"/>
      <c r="E76" s="121"/>
    </row>
    <row r="77" spans="1:5" x14ac:dyDescent="0.2">
      <c r="A77" s="145"/>
      <c r="B77" s="145"/>
      <c r="C77" s="145"/>
      <c r="D77" s="145"/>
      <c r="E77" s="121"/>
    </row>
    <row r="78" spans="1:5" x14ac:dyDescent="0.2">
      <c r="A78" s="145"/>
      <c r="B78" s="145"/>
      <c r="C78" s="145"/>
      <c r="D78" s="145"/>
      <c r="E78" s="121"/>
    </row>
    <row r="79" spans="1:5" x14ac:dyDescent="0.2">
      <c r="A79" s="145"/>
      <c r="B79" s="145"/>
      <c r="C79" s="145"/>
      <c r="D79" s="145"/>
      <c r="E79" s="121"/>
    </row>
    <row r="80" spans="1:5" x14ac:dyDescent="0.2">
      <c r="E80" s="146"/>
    </row>
    <row r="81" spans="5:5" x14ac:dyDescent="0.2">
      <c r="E81" s="146"/>
    </row>
  </sheetData>
  <mergeCells count="8">
    <mergeCell ref="A1:E1"/>
    <mergeCell ref="A37:A43"/>
    <mergeCell ref="A31:A36"/>
    <mergeCell ref="A10:A17"/>
    <mergeCell ref="A20:A28"/>
    <mergeCell ref="A4:B4"/>
    <mergeCell ref="A5:A7"/>
    <mergeCell ref="A9:B9"/>
  </mergeCells>
  <pageMargins left="0.7" right="0.7" top="0.75" bottom="0.75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zoomScale="80" zoomScaleNormal="80" workbookViewId="0">
      <selection activeCell="H20" sqref="H20"/>
    </sheetView>
  </sheetViews>
  <sheetFormatPr baseColWidth="10" defaultRowHeight="15" x14ac:dyDescent="0.25"/>
  <cols>
    <col min="1" max="1" width="22.42578125" customWidth="1"/>
    <col min="2" max="2" width="20.140625" customWidth="1"/>
    <col min="3" max="3" width="11.85546875" customWidth="1"/>
    <col min="4" max="4" width="11.42578125" customWidth="1"/>
    <col min="5" max="5" width="10" customWidth="1"/>
  </cols>
  <sheetData>
    <row r="1" spans="1:5" ht="19.5" thickBot="1" x14ac:dyDescent="0.35">
      <c r="A1" s="256" t="s">
        <v>69</v>
      </c>
      <c r="B1" s="257"/>
      <c r="C1" s="257"/>
      <c r="D1" s="257"/>
      <c r="E1" s="258"/>
    </row>
    <row r="2" spans="1:5" ht="45" x14ac:dyDescent="0.25">
      <c r="A2" s="166" t="s">
        <v>0</v>
      </c>
      <c r="B2" s="2" t="s">
        <v>1</v>
      </c>
      <c r="C2" s="2" t="s">
        <v>2</v>
      </c>
      <c r="D2" s="2" t="s">
        <v>3</v>
      </c>
      <c r="E2" s="186" t="s">
        <v>4</v>
      </c>
    </row>
    <row r="3" spans="1:5" x14ac:dyDescent="0.25">
      <c r="A3" s="85"/>
      <c r="B3" s="86"/>
      <c r="C3" s="86"/>
      <c r="D3" s="86"/>
      <c r="E3" s="87"/>
    </row>
    <row r="4" spans="1:5" x14ac:dyDescent="0.25">
      <c r="A4" s="231" t="s">
        <v>5</v>
      </c>
      <c r="B4" s="232"/>
      <c r="C4" s="4"/>
      <c r="D4" s="4"/>
      <c r="E4" s="187"/>
    </row>
    <row r="5" spans="1:5" x14ac:dyDescent="0.25">
      <c r="A5" s="261" t="s">
        <v>116</v>
      </c>
      <c r="B5" s="14" t="s">
        <v>105</v>
      </c>
      <c r="C5" s="5">
        <v>0.8</v>
      </c>
      <c r="D5" s="76">
        <v>15</v>
      </c>
      <c r="E5" s="188">
        <f>+C5*D5</f>
        <v>12</v>
      </c>
    </row>
    <row r="6" spans="1:5" x14ac:dyDescent="0.25">
      <c r="A6" s="262"/>
      <c r="B6" s="14" t="s">
        <v>106</v>
      </c>
      <c r="C6" s="5"/>
      <c r="D6" s="5"/>
      <c r="E6" s="188">
        <v>8</v>
      </c>
    </row>
    <row r="7" spans="1:5" x14ac:dyDescent="0.25">
      <c r="A7" s="168"/>
      <c r="B7" s="8"/>
      <c r="C7" s="9"/>
      <c r="D7" s="9"/>
      <c r="E7" s="189">
        <f>SUM(E5:E6)</f>
        <v>20</v>
      </c>
    </row>
    <row r="8" spans="1:5" x14ac:dyDescent="0.25">
      <c r="A8" s="231" t="s">
        <v>108</v>
      </c>
      <c r="B8" s="232"/>
      <c r="C8" s="4"/>
      <c r="D8" s="4"/>
      <c r="E8" s="187"/>
    </row>
    <row r="9" spans="1:5" x14ac:dyDescent="0.25">
      <c r="A9" s="261" t="s">
        <v>109</v>
      </c>
      <c r="B9" s="14" t="s">
        <v>203</v>
      </c>
      <c r="C9" s="13">
        <v>13</v>
      </c>
      <c r="D9" s="65">
        <v>1</v>
      </c>
      <c r="E9" s="190">
        <f>+C9*D9</f>
        <v>13</v>
      </c>
    </row>
    <row r="10" spans="1:5" x14ac:dyDescent="0.25">
      <c r="A10" s="263"/>
      <c r="B10" s="14" t="s">
        <v>110</v>
      </c>
      <c r="C10" s="13">
        <v>12</v>
      </c>
      <c r="D10" s="65">
        <v>1</v>
      </c>
      <c r="E10" s="190">
        <f>+C10*D10</f>
        <v>12</v>
      </c>
    </row>
    <row r="11" spans="1:5" ht="25.5" x14ac:dyDescent="0.25">
      <c r="A11" s="263"/>
      <c r="B11" s="14" t="s">
        <v>111</v>
      </c>
      <c r="C11" s="13">
        <v>9</v>
      </c>
      <c r="D11" s="65">
        <v>1</v>
      </c>
      <c r="E11" s="190">
        <f>+C11*D11</f>
        <v>9</v>
      </c>
    </row>
    <row r="12" spans="1:5" ht="25.5" x14ac:dyDescent="0.25">
      <c r="A12" s="263"/>
      <c r="B12" s="14" t="s">
        <v>112</v>
      </c>
      <c r="C12" s="72">
        <v>7.5</v>
      </c>
      <c r="D12" s="67">
        <v>3</v>
      </c>
      <c r="E12" s="188">
        <f>+C12*D12</f>
        <v>22.5</v>
      </c>
    </row>
    <row r="13" spans="1:5" x14ac:dyDescent="0.25">
      <c r="A13" s="263"/>
      <c r="B13" s="14" t="s">
        <v>113</v>
      </c>
      <c r="C13" s="5"/>
      <c r="D13" s="5"/>
      <c r="E13" s="188">
        <v>12</v>
      </c>
    </row>
    <row r="14" spans="1:5" x14ac:dyDescent="0.25">
      <c r="A14" s="263"/>
      <c r="B14" s="14" t="s">
        <v>114</v>
      </c>
      <c r="C14" s="13">
        <v>2</v>
      </c>
      <c r="D14" s="13">
        <v>2</v>
      </c>
      <c r="E14" s="190">
        <f>+C14*D14</f>
        <v>4</v>
      </c>
    </row>
    <row r="15" spans="1:5" x14ac:dyDescent="0.25">
      <c r="A15" s="263"/>
      <c r="B15" s="14" t="s">
        <v>115</v>
      </c>
      <c r="C15" s="5"/>
      <c r="D15" s="5"/>
      <c r="E15" s="188">
        <v>4</v>
      </c>
    </row>
    <row r="16" spans="1:5" x14ac:dyDescent="0.25">
      <c r="A16" s="262"/>
      <c r="B16" s="14" t="s">
        <v>86</v>
      </c>
      <c r="C16" s="13"/>
      <c r="D16" s="13"/>
      <c r="E16" s="190">
        <v>2</v>
      </c>
    </row>
    <row r="17" spans="1:5" x14ac:dyDescent="0.25">
      <c r="A17" s="168"/>
      <c r="B17" s="8"/>
      <c r="C17" s="9"/>
      <c r="D17" s="9"/>
      <c r="E17" s="189">
        <f>SUM(E9:E16)</f>
        <v>78.5</v>
      </c>
    </row>
    <row r="18" spans="1:5" x14ac:dyDescent="0.25">
      <c r="A18" s="260" t="s">
        <v>97</v>
      </c>
      <c r="B18" s="232"/>
      <c r="C18" s="4"/>
      <c r="D18" s="4"/>
      <c r="E18" s="187"/>
    </row>
    <row r="19" spans="1:5" ht="25.5" x14ac:dyDescent="0.25">
      <c r="A19" s="259" t="s">
        <v>117</v>
      </c>
      <c r="B19" s="19" t="s">
        <v>99</v>
      </c>
      <c r="C19" s="21">
        <v>5</v>
      </c>
      <c r="D19" s="70">
        <v>8</v>
      </c>
      <c r="E19" s="190">
        <f>+C19*D19</f>
        <v>40</v>
      </c>
    </row>
    <row r="20" spans="1:5" ht="25.5" x14ac:dyDescent="0.25">
      <c r="A20" s="259"/>
      <c r="B20" s="19" t="s">
        <v>100</v>
      </c>
      <c r="C20" s="21">
        <v>40</v>
      </c>
      <c r="D20" s="70">
        <v>1</v>
      </c>
      <c r="E20" s="190">
        <f>+C20*D20</f>
        <v>40</v>
      </c>
    </row>
    <row r="21" spans="1:5" ht="25.5" x14ac:dyDescent="0.25">
      <c r="A21" s="259"/>
      <c r="B21" s="19" t="s">
        <v>101</v>
      </c>
      <c r="C21" s="21">
        <v>40</v>
      </c>
      <c r="D21" s="70">
        <v>1</v>
      </c>
      <c r="E21" s="190">
        <f>+C21*D21</f>
        <v>40</v>
      </c>
    </row>
    <row r="22" spans="1:5" ht="38.25" x14ac:dyDescent="0.25">
      <c r="A22" s="259"/>
      <c r="B22" s="19" t="s">
        <v>102</v>
      </c>
      <c r="C22" s="21">
        <v>5</v>
      </c>
      <c r="D22" s="70">
        <v>8</v>
      </c>
      <c r="E22" s="190">
        <f>+C22*D22</f>
        <v>40</v>
      </c>
    </row>
    <row r="23" spans="1:5" x14ac:dyDescent="0.25">
      <c r="A23" s="259"/>
      <c r="B23" s="19" t="s">
        <v>104</v>
      </c>
      <c r="C23" s="72">
        <v>5</v>
      </c>
      <c r="D23" s="64">
        <v>2</v>
      </c>
      <c r="E23" s="188">
        <f t="shared" ref="E23:E32" si="0">+C23*D23</f>
        <v>10</v>
      </c>
    </row>
    <row r="24" spans="1:5" x14ac:dyDescent="0.25">
      <c r="A24" s="259"/>
      <c r="B24" s="19" t="s">
        <v>103</v>
      </c>
      <c r="C24" s="72">
        <v>7.5</v>
      </c>
      <c r="D24" s="64">
        <v>4</v>
      </c>
      <c r="E24" s="188">
        <f t="shared" si="0"/>
        <v>30</v>
      </c>
    </row>
    <row r="25" spans="1:5" ht="25.5" x14ac:dyDescent="0.25">
      <c r="A25" s="259" t="s">
        <v>118</v>
      </c>
      <c r="B25" s="19" t="s">
        <v>220</v>
      </c>
      <c r="C25" s="72">
        <v>350</v>
      </c>
      <c r="D25" s="72">
        <v>2</v>
      </c>
      <c r="E25" s="188">
        <f t="shared" si="0"/>
        <v>700</v>
      </c>
    </row>
    <row r="26" spans="1:5" ht="25.5" x14ac:dyDescent="0.25">
      <c r="A26" s="259"/>
      <c r="B26" s="19" t="s">
        <v>221</v>
      </c>
      <c r="C26" s="72">
        <v>350</v>
      </c>
      <c r="D26" s="72">
        <v>1</v>
      </c>
      <c r="E26" s="188">
        <f t="shared" si="0"/>
        <v>350</v>
      </c>
    </row>
    <row r="27" spans="1:5" ht="25.5" x14ac:dyDescent="0.25">
      <c r="A27" s="259" t="s">
        <v>119</v>
      </c>
      <c r="B27" s="19" t="s">
        <v>222</v>
      </c>
      <c r="C27" s="72">
        <v>7.5</v>
      </c>
      <c r="D27" s="64">
        <v>4</v>
      </c>
      <c r="E27" s="188">
        <f t="shared" si="0"/>
        <v>30</v>
      </c>
    </row>
    <row r="28" spans="1:5" ht="25.5" x14ac:dyDescent="0.25">
      <c r="A28" s="259"/>
      <c r="B28" s="19" t="s">
        <v>223</v>
      </c>
      <c r="C28" s="72">
        <v>7.5</v>
      </c>
      <c r="D28" s="64">
        <v>4</v>
      </c>
      <c r="E28" s="188">
        <f t="shared" si="0"/>
        <v>30</v>
      </c>
    </row>
    <row r="29" spans="1:5" ht="25.5" x14ac:dyDescent="0.25">
      <c r="A29" s="259" t="s">
        <v>120</v>
      </c>
      <c r="B29" s="19" t="s">
        <v>224</v>
      </c>
      <c r="C29" s="72"/>
      <c r="D29" s="72"/>
      <c r="E29" s="188">
        <v>4</v>
      </c>
    </row>
    <row r="30" spans="1:5" ht="25.5" x14ac:dyDescent="0.25">
      <c r="A30" s="259"/>
      <c r="B30" s="19" t="s">
        <v>225</v>
      </c>
      <c r="C30" s="72"/>
      <c r="D30" s="72"/>
      <c r="E30" s="188">
        <v>4</v>
      </c>
    </row>
    <row r="31" spans="1:5" x14ac:dyDescent="0.25">
      <c r="A31" s="259"/>
      <c r="B31" s="205" t="s">
        <v>226</v>
      </c>
      <c r="C31" s="72"/>
      <c r="D31" s="72"/>
      <c r="E31" s="188">
        <v>4</v>
      </c>
    </row>
    <row r="32" spans="1:5" x14ac:dyDescent="0.25">
      <c r="A32" s="259"/>
      <c r="B32" s="19" t="s">
        <v>227</v>
      </c>
      <c r="C32" s="72">
        <v>2</v>
      </c>
      <c r="D32" s="72">
        <v>4</v>
      </c>
      <c r="E32" s="188">
        <f t="shared" si="0"/>
        <v>8</v>
      </c>
    </row>
    <row r="33" spans="1:5" x14ac:dyDescent="0.25">
      <c r="A33" s="259"/>
      <c r="B33" s="19" t="s">
        <v>228</v>
      </c>
      <c r="C33" s="72"/>
      <c r="D33" s="72"/>
      <c r="E33" s="188">
        <v>3</v>
      </c>
    </row>
    <row r="34" spans="1:5" x14ac:dyDescent="0.25">
      <c r="A34" s="259"/>
      <c r="B34" s="19" t="s">
        <v>229</v>
      </c>
      <c r="C34" s="72"/>
      <c r="D34" s="72"/>
      <c r="E34" s="188">
        <v>3</v>
      </c>
    </row>
    <row r="35" spans="1:5" ht="25.5" x14ac:dyDescent="0.25">
      <c r="A35" s="259"/>
      <c r="B35" s="206" t="s">
        <v>230</v>
      </c>
      <c r="C35" s="72"/>
      <c r="D35" s="72"/>
      <c r="E35" s="188">
        <v>3</v>
      </c>
    </row>
    <row r="36" spans="1:5" x14ac:dyDescent="0.25">
      <c r="A36" s="259"/>
      <c r="B36" s="207" t="s">
        <v>231</v>
      </c>
      <c r="C36" s="83"/>
      <c r="D36" s="83"/>
      <c r="E36" s="191">
        <f>E47*0.01</f>
        <v>1.5649999999999999</v>
      </c>
    </row>
    <row r="37" spans="1:5" x14ac:dyDescent="0.25">
      <c r="A37" s="208"/>
      <c r="B37" s="8"/>
      <c r="C37" s="9"/>
      <c r="D37" s="9"/>
      <c r="E37" s="189">
        <f>SUM(E19:E35)</f>
        <v>1339</v>
      </c>
    </row>
    <row r="38" spans="1:5" ht="15.75" thickBot="1" x14ac:dyDescent="0.3">
      <c r="A38" s="85"/>
      <c r="B38" s="47"/>
      <c r="C38" s="86"/>
      <c r="D38" s="86"/>
      <c r="E38" s="87"/>
    </row>
    <row r="39" spans="1:5" x14ac:dyDescent="0.25">
      <c r="A39" s="172" t="s">
        <v>93</v>
      </c>
      <c r="B39" s="163"/>
      <c r="C39" s="12"/>
      <c r="D39" s="12"/>
      <c r="E39" s="192"/>
    </row>
    <row r="40" spans="1:5" x14ac:dyDescent="0.25">
      <c r="A40" s="173"/>
      <c r="B40" s="28" t="s">
        <v>5</v>
      </c>
      <c r="C40" s="29"/>
      <c r="D40" s="29"/>
      <c r="E40" s="193">
        <f>+E7</f>
        <v>20</v>
      </c>
    </row>
    <row r="41" spans="1:5" x14ac:dyDescent="0.25">
      <c r="A41" s="173"/>
      <c r="B41" s="28" t="s">
        <v>121</v>
      </c>
      <c r="C41" s="29"/>
      <c r="D41" s="29"/>
      <c r="E41" s="194">
        <f>+E17</f>
        <v>78.5</v>
      </c>
    </row>
    <row r="42" spans="1:5" x14ac:dyDescent="0.25">
      <c r="A42" s="168"/>
      <c r="B42" s="8" t="s">
        <v>92</v>
      </c>
      <c r="C42" s="32"/>
      <c r="D42" s="32"/>
      <c r="E42" s="193">
        <f>+E37</f>
        <v>1339</v>
      </c>
    </row>
    <row r="43" spans="1:5" x14ac:dyDescent="0.25">
      <c r="A43" s="174" t="s">
        <v>56</v>
      </c>
      <c r="B43" s="35"/>
      <c r="C43" s="36"/>
      <c r="D43" s="36"/>
      <c r="E43" s="195">
        <f>SUM(E40:E42)</f>
        <v>1437.5</v>
      </c>
    </row>
    <row r="44" spans="1:5" x14ac:dyDescent="0.25">
      <c r="A44" s="174" t="s">
        <v>57</v>
      </c>
      <c r="B44" s="34" t="s">
        <v>58</v>
      </c>
      <c r="C44" s="38">
        <v>0.35</v>
      </c>
      <c r="D44" s="36"/>
      <c r="E44" s="195">
        <f>0.35*E43</f>
        <v>503.12499999999994</v>
      </c>
    </row>
    <row r="45" spans="1:5" ht="15.75" thickBot="1" x14ac:dyDescent="0.3">
      <c r="A45" s="175"/>
      <c r="B45" s="145"/>
      <c r="C45" s="145"/>
      <c r="D45" s="145"/>
      <c r="E45" s="177"/>
    </row>
    <row r="46" spans="1:5" ht="16.5" thickBot="1" x14ac:dyDescent="0.3">
      <c r="A46" s="178" t="s">
        <v>59</v>
      </c>
      <c r="B46" s="40"/>
      <c r="C46" s="41"/>
      <c r="D46" s="41"/>
      <c r="E46" s="196">
        <f>+E43+E44</f>
        <v>1940.625</v>
      </c>
    </row>
    <row r="47" spans="1:5" x14ac:dyDescent="0.25">
      <c r="A47" s="175" t="s">
        <v>160</v>
      </c>
      <c r="B47" s="145"/>
      <c r="C47" s="145"/>
      <c r="D47" s="145"/>
      <c r="E47" s="197">
        <f>E9+E10+E11+E12+E22+E27+E28</f>
        <v>156.5</v>
      </c>
    </row>
    <row r="48" spans="1:5" x14ac:dyDescent="0.25">
      <c r="A48" s="198"/>
      <c r="B48" s="47"/>
      <c r="C48" s="48"/>
      <c r="D48" s="48"/>
      <c r="E48" s="199"/>
    </row>
    <row r="49" spans="1:5" x14ac:dyDescent="0.25">
      <c r="A49" s="180" t="s">
        <v>63</v>
      </c>
      <c r="B49" s="164"/>
      <c r="C49" s="164"/>
      <c r="D49" s="164"/>
      <c r="E49" s="181"/>
    </row>
    <row r="50" spans="1:5" x14ac:dyDescent="0.25">
      <c r="A50" s="200" t="s">
        <v>64</v>
      </c>
      <c r="B50" s="161"/>
      <c r="C50" s="162"/>
      <c r="D50" s="71">
        <f>D23+D22+D21+D20+D19+D11+D9+D10+D24+D27+D28</f>
        <v>35</v>
      </c>
      <c r="E50" s="182"/>
    </row>
    <row r="51" spans="1:5" x14ac:dyDescent="0.25">
      <c r="A51" s="200" t="s">
        <v>65</v>
      </c>
      <c r="B51" s="161"/>
      <c r="C51" s="162"/>
      <c r="D51" s="68">
        <f>D9+D10+D11+D20+D21</f>
        <v>5</v>
      </c>
      <c r="E51" s="201"/>
    </row>
    <row r="52" spans="1:5" ht="15.75" thickBot="1" x14ac:dyDescent="0.3">
      <c r="A52" s="202" t="s">
        <v>63</v>
      </c>
      <c r="B52" s="203"/>
      <c r="C52" s="204"/>
      <c r="D52" s="183">
        <f>SUM(D50:D51)</f>
        <v>40</v>
      </c>
      <c r="E52" s="185"/>
    </row>
    <row r="114" spans="1:1" x14ac:dyDescent="0.25">
      <c r="A114" t="s">
        <v>66</v>
      </c>
    </row>
  </sheetData>
  <mergeCells count="10">
    <mergeCell ref="A1:E1"/>
    <mergeCell ref="A4:B4"/>
    <mergeCell ref="A25:A26"/>
    <mergeCell ref="A27:A28"/>
    <mergeCell ref="A29:A36"/>
    <mergeCell ref="A18:B18"/>
    <mergeCell ref="A5:A6"/>
    <mergeCell ref="A8:B8"/>
    <mergeCell ref="A19:A24"/>
    <mergeCell ref="A9:A1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zoomScale="90" zoomScaleNormal="90" workbookViewId="0">
      <selection activeCell="H19" sqref="H19"/>
    </sheetView>
  </sheetViews>
  <sheetFormatPr baseColWidth="10" defaultRowHeight="15" x14ac:dyDescent="0.25"/>
  <cols>
    <col min="1" max="1" width="15.140625" customWidth="1"/>
    <col min="2" max="2" width="30" customWidth="1"/>
    <col min="3" max="4" width="7" customWidth="1"/>
    <col min="5" max="5" width="8.28515625" customWidth="1"/>
  </cols>
  <sheetData>
    <row r="1" spans="1:5" ht="19.5" thickBot="1" x14ac:dyDescent="0.35">
      <c r="A1" s="278" t="s">
        <v>70</v>
      </c>
      <c r="B1" s="278"/>
      <c r="C1" s="278"/>
      <c r="D1" s="278"/>
      <c r="E1" s="278"/>
    </row>
    <row r="2" spans="1:5" ht="78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/>
      <c r="B3" s="3"/>
      <c r="C3" s="3"/>
      <c r="D3" s="3"/>
      <c r="E3" s="3"/>
    </row>
    <row r="4" spans="1:5" x14ac:dyDescent="0.25">
      <c r="A4" s="279" t="s">
        <v>5</v>
      </c>
      <c r="B4" s="280"/>
      <c r="C4" s="280"/>
      <c r="D4" s="280"/>
      <c r="E4" s="280"/>
    </row>
    <row r="5" spans="1:5" x14ac:dyDescent="0.25">
      <c r="A5" s="153"/>
      <c r="B5" s="5" t="s">
        <v>105</v>
      </c>
      <c r="C5" s="5">
        <v>0.8</v>
      </c>
      <c r="D5" s="76">
        <v>15</v>
      </c>
      <c r="E5" s="94">
        <f>+C5*D5</f>
        <v>12</v>
      </c>
    </row>
    <row r="6" spans="1:5" ht="15.75" thickBot="1" x14ac:dyDescent="0.3">
      <c r="A6" s="7"/>
      <c r="B6" s="8"/>
      <c r="C6" s="9"/>
      <c r="D6" s="9"/>
      <c r="E6" s="10">
        <f>SUM(E5:E5)</f>
        <v>12</v>
      </c>
    </row>
    <row r="7" spans="1:5" x14ac:dyDescent="0.25">
      <c r="A7" s="268" t="s">
        <v>122</v>
      </c>
      <c r="B7" s="269"/>
      <c r="C7" s="269"/>
      <c r="D7" s="269"/>
      <c r="E7" s="269"/>
    </row>
    <row r="8" spans="1:5" x14ac:dyDescent="0.25">
      <c r="A8" s="275" t="s">
        <v>151</v>
      </c>
      <c r="B8" s="14" t="s">
        <v>205</v>
      </c>
      <c r="C8" s="13">
        <v>13</v>
      </c>
      <c r="D8" s="13">
        <v>1</v>
      </c>
      <c r="E8" s="94">
        <f>+C8*D8</f>
        <v>13</v>
      </c>
    </row>
    <row r="9" spans="1:5" x14ac:dyDescent="0.25">
      <c r="A9" s="276"/>
      <c r="B9" s="14" t="s">
        <v>46</v>
      </c>
      <c r="C9" s="21">
        <v>12</v>
      </c>
      <c r="D9" s="21">
        <v>1</v>
      </c>
      <c r="E9" s="94">
        <f>+C9*D9</f>
        <v>12</v>
      </c>
    </row>
    <row r="10" spans="1:5" x14ac:dyDescent="0.25">
      <c r="A10" s="276"/>
      <c r="B10" s="14" t="s">
        <v>123</v>
      </c>
      <c r="C10" s="13">
        <v>7.5</v>
      </c>
      <c r="D10" s="21">
        <v>2</v>
      </c>
      <c r="E10" s="94">
        <f>+C10*D10</f>
        <v>15</v>
      </c>
    </row>
    <row r="11" spans="1:5" x14ac:dyDescent="0.25">
      <c r="A11" s="276"/>
      <c r="B11" s="14" t="s">
        <v>125</v>
      </c>
      <c r="C11" s="60">
        <v>4</v>
      </c>
      <c r="D11" s="77">
        <v>2</v>
      </c>
      <c r="E11" s="94">
        <f>+C11*D11</f>
        <v>8</v>
      </c>
    </row>
    <row r="12" spans="1:5" x14ac:dyDescent="0.25">
      <c r="A12" s="276"/>
      <c r="B12" s="5" t="s">
        <v>127</v>
      </c>
      <c r="C12" s="13"/>
      <c r="D12" s="13"/>
      <c r="E12" s="94">
        <v>4</v>
      </c>
    </row>
    <row r="13" spans="1:5" x14ac:dyDescent="0.25">
      <c r="A13" s="277"/>
      <c r="B13" s="5" t="s">
        <v>128</v>
      </c>
      <c r="C13" s="5"/>
      <c r="D13" s="5"/>
      <c r="E13" s="94">
        <v>4</v>
      </c>
    </row>
    <row r="14" spans="1:5" ht="15.75" thickBot="1" x14ac:dyDescent="0.3">
      <c r="A14" s="15"/>
      <c r="B14" s="16"/>
      <c r="C14" s="17"/>
      <c r="D14" s="17"/>
      <c r="E14" s="18">
        <f>SUM(E8:E13)</f>
        <v>56</v>
      </c>
    </row>
    <row r="15" spans="1:5" x14ac:dyDescent="0.25">
      <c r="A15" s="268" t="s">
        <v>124</v>
      </c>
      <c r="B15" s="269"/>
      <c r="C15" s="269"/>
      <c r="D15" s="269"/>
      <c r="E15" s="269"/>
    </row>
    <row r="16" spans="1:5" x14ac:dyDescent="0.25">
      <c r="A16" s="275" t="s">
        <v>152</v>
      </c>
      <c r="B16" s="14" t="s">
        <v>205</v>
      </c>
      <c r="C16" s="13">
        <v>13</v>
      </c>
      <c r="D16" s="13">
        <v>1</v>
      </c>
      <c r="E16" s="94">
        <f>+C16*D16</f>
        <v>13</v>
      </c>
    </row>
    <row r="17" spans="1:5" x14ac:dyDescent="0.25">
      <c r="A17" s="276"/>
      <c r="B17" s="14" t="s">
        <v>47</v>
      </c>
      <c r="C17" s="21">
        <v>12</v>
      </c>
      <c r="D17" s="21">
        <v>1</v>
      </c>
      <c r="E17" s="94">
        <f>+C17*D17</f>
        <v>12</v>
      </c>
    </row>
    <row r="18" spans="1:5" x14ac:dyDescent="0.25">
      <c r="A18" s="276"/>
      <c r="B18" s="14" t="s">
        <v>48</v>
      </c>
      <c r="C18" s="21">
        <v>7.5</v>
      </c>
      <c r="D18" s="21">
        <v>3</v>
      </c>
      <c r="E18" s="94">
        <f>+C18*D18</f>
        <v>22.5</v>
      </c>
    </row>
    <row r="19" spans="1:5" x14ac:dyDescent="0.25">
      <c r="A19" s="276"/>
      <c r="B19" s="5" t="s">
        <v>129</v>
      </c>
      <c r="C19" s="13"/>
      <c r="D19" s="13"/>
      <c r="E19" s="94">
        <v>6</v>
      </c>
    </row>
    <row r="20" spans="1:5" x14ac:dyDescent="0.25">
      <c r="A20" s="276"/>
      <c r="B20" s="5" t="s">
        <v>130</v>
      </c>
      <c r="C20" s="5"/>
      <c r="D20" s="5"/>
      <c r="E20" s="94">
        <v>4</v>
      </c>
    </row>
    <row r="21" spans="1:5" x14ac:dyDescent="0.25">
      <c r="A21" s="277"/>
      <c r="B21" s="5" t="s">
        <v>202</v>
      </c>
      <c r="C21" s="5">
        <v>40</v>
      </c>
      <c r="D21" s="5"/>
      <c r="E21" s="94">
        <f>C21</f>
        <v>40</v>
      </c>
    </row>
    <row r="22" spans="1:5" ht="15.75" thickBot="1" x14ac:dyDescent="0.3">
      <c r="A22" s="15"/>
      <c r="B22" s="16"/>
      <c r="C22" s="17"/>
      <c r="D22" s="17"/>
      <c r="E22" s="18">
        <f>SUM(E16:E21)</f>
        <v>97.5</v>
      </c>
    </row>
    <row r="23" spans="1:5" x14ac:dyDescent="0.25">
      <c r="A23" s="268" t="s">
        <v>155</v>
      </c>
      <c r="B23" s="269"/>
      <c r="C23" s="269"/>
      <c r="D23" s="269"/>
      <c r="E23" s="269"/>
    </row>
    <row r="24" spans="1:5" x14ac:dyDescent="0.25">
      <c r="A24" s="275" t="s">
        <v>163</v>
      </c>
      <c r="B24" s="14" t="s">
        <v>205</v>
      </c>
      <c r="C24" s="13">
        <v>13</v>
      </c>
      <c r="D24" s="13">
        <v>1</v>
      </c>
      <c r="E24" s="94">
        <f t="shared" ref="E24:E29" si="0">+C24*D24</f>
        <v>13</v>
      </c>
    </row>
    <row r="25" spans="1:5" x14ac:dyDescent="0.25">
      <c r="A25" s="276"/>
      <c r="B25" s="14" t="s">
        <v>46</v>
      </c>
      <c r="C25" s="21">
        <v>12</v>
      </c>
      <c r="D25" s="21">
        <v>1</v>
      </c>
      <c r="E25" s="94">
        <f t="shared" si="0"/>
        <v>12</v>
      </c>
    </row>
    <row r="26" spans="1:5" x14ac:dyDescent="0.25">
      <c r="A26" s="276"/>
      <c r="B26" s="14" t="s">
        <v>126</v>
      </c>
      <c r="C26" s="21">
        <v>9</v>
      </c>
      <c r="D26" s="21">
        <v>2</v>
      </c>
      <c r="E26" s="94">
        <f t="shared" si="0"/>
        <v>18</v>
      </c>
    </row>
    <row r="27" spans="1:5" x14ac:dyDescent="0.25">
      <c r="A27" s="276"/>
      <c r="B27" s="14" t="s">
        <v>144</v>
      </c>
      <c r="C27" s="13">
        <v>7.5</v>
      </c>
      <c r="D27" s="21">
        <v>5</v>
      </c>
      <c r="E27" s="94">
        <f t="shared" si="0"/>
        <v>37.5</v>
      </c>
    </row>
    <row r="28" spans="1:5" x14ac:dyDescent="0.25">
      <c r="A28" s="276"/>
      <c r="B28" s="14" t="s">
        <v>145</v>
      </c>
      <c r="C28" s="60">
        <v>4</v>
      </c>
      <c r="D28" s="77">
        <v>2</v>
      </c>
      <c r="E28" s="94">
        <f t="shared" si="0"/>
        <v>8</v>
      </c>
    </row>
    <row r="29" spans="1:5" x14ac:dyDescent="0.25">
      <c r="A29" s="276"/>
      <c r="B29" s="5" t="s">
        <v>114</v>
      </c>
      <c r="C29" s="13">
        <v>2</v>
      </c>
      <c r="D29" s="65">
        <v>4</v>
      </c>
      <c r="E29" s="95">
        <f t="shared" si="0"/>
        <v>8</v>
      </c>
    </row>
    <row r="30" spans="1:5" x14ac:dyDescent="0.25">
      <c r="A30" s="277"/>
      <c r="B30" s="5" t="s">
        <v>115</v>
      </c>
      <c r="C30" s="5"/>
      <c r="D30" s="5"/>
      <c r="E30" s="94">
        <v>4</v>
      </c>
    </row>
    <row r="31" spans="1:5" ht="15.75" thickBot="1" x14ac:dyDescent="0.3">
      <c r="A31" s="15"/>
      <c r="B31" s="16"/>
      <c r="C31" s="17"/>
      <c r="D31" s="17"/>
      <c r="E31" s="18">
        <f>SUM(E24:E30)</f>
        <v>100.5</v>
      </c>
    </row>
    <row r="32" spans="1:5" x14ac:dyDescent="0.25">
      <c r="A32" s="268" t="s">
        <v>156</v>
      </c>
      <c r="B32" s="269"/>
      <c r="C32" s="269"/>
      <c r="D32" s="269"/>
      <c r="E32" s="269"/>
    </row>
    <row r="33" spans="1:5" x14ac:dyDescent="0.25">
      <c r="A33" s="252" t="s">
        <v>153</v>
      </c>
      <c r="B33" s="14" t="s">
        <v>206</v>
      </c>
      <c r="C33" s="13">
        <v>13</v>
      </c>
      <c r="D33" s="13">
        <v>1</v>
      </c>
      <c r="E33" s="94">
        <f t="shared" ref="E33:E38" si="1">+C33*D33</f>
        <v>13</v>
      </c>
    </row>
    <row r="34" spans="1:5" x14ac:dyDescent="0.25">
      <c r="A34" s="253"/>
      <c r="B34" s="14" t="s">
        <v>141</v>
      </c>
      <c r="C34" s="21">
        <v>18</v>
      </c>
      <c r="D34" s="21">
        <v>1</v>
      </c>
      <c r="E34" s="94">
        <f t="shared" si="1"/>
        <v>18</v>
      </c>
    </row>
    <row r="35" spans="1:5" x14ac:dyDescent="0.25">
      <c r="A35" s="253"/>
      <c r="B35" s="14" t="s">
        <v>142</v>
      </c>
      <c r="C35" s="13">
        <v>9</v>
      </c>
      <c r="D35" s="13">
        <v>5</v>
      </c>
      <c r="E35" s="94">
        <f t="shared" si="1"/>
        <v>45</v>
      </c>
    </row>
    <row r="36" spans="1:5" x14ac:dyDescent="0.25">
      <c r="A36" s="253"/>
      <c r="B36" s="14" t="s">
        <v>143</v>
      </c>
      <c r="C36" s="13">
        <v>7.5</v>
      </c>
      <c r="D36" s="13">
        <v>8</v>
      </c>
      <c r="E36" s="94">
        <f t="shared" si="1"/>
        <v>60</v>
      </c>
    </row>
    <row r="37" spans="1:5" x14ac:dyDescent="0.25">
      <c r="A37" s="253"/>
      <c r="B37" s="14" t="s">
        <v>146</v>
      </c>
      <c r="C37" s="13">
        <v>4</v>
      </c>
      <c r="D37" s="13">
        <v>11</v>
      </c>
      <c r="E37" s="94">
        <f t="shared" si="1"/>
        <v>44</v>
      </c>
    </row>
    <row r="38" spans="1:5" x14ac:dyDescent="0.25">
      <c r="A38" s="253"/>
      <c r="B38" s="5" t="s">
        <v>114</v>
      </c>
      <c r="C38" s="13">
        <v>2</v>
      </c>
      <c r="D38" s="65">
        <v>4</v>
      </c>
      <c r="E38" s="95">
        <f t="shared" si="1"/>
        <v>8</v>
      </c>
    </row>
    <row r="39" spans="1:5" x14ac:dyDescent="0.25">
      <c r="A39" s="254"/>
      <c r="B39" s="5" t="s">
        <v>115</v>
      </c>
      <c r="C39" s="5"/>
      <c r="D39" s="5"/>
      <c r="E39" s="94">
        <v>4</v>
      </c>
    </row>
    <row r="40" spans="1:5" ht="15.75" thickBot="1" x14ac:dyDescent="0.3">
      <c r="A40" s="154"/>
      <c r="B40" s="155"/>
      <c r="C40" s="156"/>
      <c r="D40" s="156"/>
      <c r="E40" s="157">
        <f>SUM(E33:E39)</f>
        <v>192</v>
      </c>
    </row>
    <row r="41" spans="1:5" x14ac:dyDescent="0.25">
      <c r="A41" s="268" t="s">
        <v>154</v>
      </c>
      <c r="B41" s="269"/>
      <c r="C41" s="269"/>
      <c r="D41" s="269"/>
      <c r="E41" s="269"/>
    </row>
    <row r="42" spans="1:5" x14ac:dyDescent="0.25">
      <c r="A42" s="272" t="s">
        <v>232</v>
      </c>
      <c r="B42" s="5" t="s">
        <v>149</v>
      </c>
      <c r="C42" s="6">
        <v>1.1000000000000001</v>
      </c>
      <c r="D42" s="6">
        <v>6</v>
      </c>
      <c r="E42" s="94">
        <f>+C42*D42</f>
        <v>6.6000000000000005</v>
      </c>
    </row>
    <row r="43" spans="1:5" x14ac:dyDescent="0.25">
      <c r="A43" s="273"/>
      <c r="B43" s="14" t="s">
        <v>150</v>
      </c>
      <c r="C43" s="13">
        <v>1.1000000000000001</v>
      </c>
      <c r="D43" s="13">
        <v>12</v>
      </c>
      <c r="E43" s="94">
        <f>+C43*D43</f>
        <v>13.200000000000001</v>
      </c>
    </row>
    <row r="44" spans="1:5" x14ac:dyDescent="0.25">
      <c r="A44" s="273"/>
      <c r="B44" s="14" t="s">
        <v>148</v>
      </c>
      <c r="C44" s="13">
        <v>1.1000000000000001</v>
      </c>
      <c r="D44" s="13">
        <v>20</v>
      </c>
      <c r="E44" s="94">
        <f>+C44*D44</f>
        <v>22</v>
      </c>
    </row>
    <row r="45" spans="1:5" x14ac:dyDescent="0.25">
      <c r="A45" s="273"/>
      <c r="B45" s="5" t="s">
        <v>129</v>
      </c>
      <c r="C45" s="13"/>
      <c r="D45" s="13"/>
      <c r="E45" s="94">
        <v>6</v>
      </c>
    </row>
    <row r="46" spans="1:5" x14ac:dyDescent="0.25">
      <c r="A46" s="273"/>
      <c r="B46" s="5" t="s">
        <v>158</v>
      </c>
      <c r="C46" s="13"/>
      <c r="D46" s="13"/>
      <c r="E46" s="94">
        <v>4</v>
      </c>
    </row>
    <row r="47" spans="1:5" x14ac:dyDescent="0.25">
      <c r="A47" s="273" t="s">
        <v>233</v>
      </c>
      <c r="B47" s="14" t="s">
        <v>161</v>
      </c>
      <c r="C47" s="13"/>
      <c r="D47" s="13"/>
      <c r="E47" s="96">
        <f>E63*0.01</f>
        <v>3.64</v>
      </c>
    </row>
    <row r="48" spans="1:5" ht="25.5" x14ac:dyDescent="0.25">
      <c r="A48" s="273"/>
      <c r="B48" s="59" t="s">
        <v>159</v>
      </c>
      <c r="C48" s="60"/>
      <c r="D48" s="60"/>
      <c r="E48" s="97">
        <f>E63*0.03</f>
        <v>10.92</v>
      </c>
    </row>
    <row r="49" spans="1:5" x14ac:dyDescent="0.25">
      <c r="A49" s="273"/>
      <c r="B49" s="59" t="s">
        <v>89</v>
      </c>
      <c r="C49" s="60"/>
      <c r="D49" s="60"/>
      <c r="E49" s="97">
        <f>E63*0.03</f>
        <v>10.92</v>
      </c>
    </row>
    <row r="50" spans="1:5" x14ac:dyDescent="0.25">
      <c r="A50" s="274"/>
      <c r="B50" s="59" t="s">
        <v>207</v>
      </c>
      <c r="C50" s="60"/>
      <c r="D50" s="60"/>
      <c r="E50" s="97">
        <v>4</v>
      </c>
    </row>
    <row r="51" spans="1:5" ht="15.75" thickBot="1" x14ac:dyDescent="0.3">
      <c r="A51" s="15"/>
      <c r="B51" s="15"/>
      <c r="C51" s="15"/>
      <c r="D51" s="73">
        <f>SUM(D4:D48)</f>
        <v>109</v>
      </c>
      <c r="E51" s="73">
        <f>SUM(E42:E50)</f>
        <v>81.28</v>
      </c>
    </row>
    <row r="52" spans="1:5" x14ac:dyDescent="0.25">
      <c r="A52" s="27"/>
      <c r="B52" s="27"/>
      <c r="C52" s="27"/>
      <c r="D52" s="27"/>
      <c r="E52" s="27"/>
    </row>
    <row r="53" spans="1:5" x14ac:dyDescent="0.25">
      <c r="A53" s="28"/>
      <c r="B53" s="28" t="s">
        <v>5</v>
      </c>
      <c r="C53" s="29"/>
      <c r="D53" s="29"/>
      <c r="E53" s="30">
        <f>E6</f>
        <v>12</v>
      </c>
    </row>
    <row r="54" spans="1:5" x14ac:dyDescent="0.25">
      <c r="A54" s="28"/>
      <c r="B54" s="28" t="s">
        <v>138</v>
      </c>
      <c r="C54" s="29"/>
      <c r="D54" s="29"/>
      <c r="E54" s="31">
        <f>E14</f>
        <v>56</v>
      </c>
    </row>
    <row r="55" spans="1:5" x14ac:dyDescent="0.25">
      <c r="A55" s="28"/>
      <c r="B55" s="28" t="s">
        <v>139</v>
      </c>
      <c r="C55" s="29"/>
      <c r="D55" s="29"/>
      <c r="E55" s="31">
        <f>E22</f>
        <v>97.5</v>
      </c>
    </row>
    <row r="56" spans="1:5" x14ac:dyDescent="0.25">
      <c r="A56" s="28"/>
      <c r="B56" s="28" t="s">
        <v>140</v>
      </c>
      <c r="C56" s="29"/>
      <c r="D56" s="29"/>
      <c r="E56" s="30">
        <f>E31</f>
        <v>100.5</v>
      </c>
    </row>
    <row r="57" spans="1:5" x14ac:dyDescent="0.25">
      <c r="A57" s="8"/>
      <c r="B57" s="8" t="s">
        <v>147</v>
      </c>
      <c r="C57" s="32"/>
      <c r="D57" s="32"/>
      <c r="E57" s="33">
        <f>E40</f>
        <v>192</v>
      </c>
    </row>
    <row r="58" spans="1:5" x14ac:dyDescent="0.25">
      <c r="A58" s="8"/>
      <c r="B58" s="8" t="s">
        <v>50</v>
      </c>
      <c r="C58" s="32"/>
      <c r="D58" s="32"/>
      <c r="E58" s="33">
        <f>+E51</f>
        <v>81.28</v>
      </c>
    </row>
    <row r="59" spans="1:5" x14ac:dyDescent="0.25">
      <c r="A59" s="34" t="s">
        <v>56</v>
      </c>
      <c r="B59" s="35"/>
      <c r="C59" s="36"/>
      <c r="D59" s="36"/>
      <c r="E59" s="37">
        <f>SUM(E53:E58)</f>
        <v>539.28</v>
      </c>
    </row>
    <row r="60" spans="1:5" ht="25.5" x14ac:dyDescent="0.25">
      <c r="A60" s="34" t="s">
        <v>57</v>
      </c>
      <c r="B60" s="34" t="s">
        <v>58</v>
      </c>
      <c r="C60" s="38">
        <v>0.35</v>
      </c>
      <c r="D60" s="36"/>
      <c r="E60" s="37">
        <f>0.35*E59</f>
        <v>188.74799999999999</v>
      </c>
    </row>
    <row r="61" spans="1:5" ht="15.75" thickBot="1" x14ac:dyDescent="0.3">
      <c r="A61" s="27"/>
      <c r="B61" s="27"/>
      <c r="C61" s="27"/>
      <c r="D61" s="27"/>
      <c r="E61" s="27"/>
    </row>
    <row r="62" spans="1:5" ht="32.25" thickBot="1" x14ac:dyDescent="0.3">
      <c r="A62" s="39" t="s">
        <v>59</v>
      </c>
      <c r="B62" s="40"/>
      <c r="C62" s="41"/>
      <c r="D62" s="41"/>
      <c r="E62" s="42">
        <f>+E59+E60</f>
        <v>728.02800000000002</v>
      </c>
    </row>
    <row r="63" spans="1:5" ht="25.5" x14ac:dyDescent="0.25">
      <c r="A63" s="58" t="s">
        <v>157</v>
      </c>
      <c r="B63" s="47"/>
      <c r="C63" s="48"/>
      <c r="D63" s="48"/>
      <c r="E63" s="48">
        <f>E8+E9+E10+E11+E16+E17+E18+E24+E25+E26+E27+E28+E33+E34+E35+E37+E36</f>
        <v>364</v>
      </c>
    </row>
    <row r="64" spans="1:5" x14ac:dyDescent="0.25">
      <c r="A64" s="270" t="s">
        <v>63</v>
      </c>
      <c r="B64" s="271"/>
      <c r="C64" s="271"/>
      <c r="D64" s="271"/>
      <c r="E64" s="271"/>
    </row>
    <row r="65" spans="1:5" x14ac:dyDescent="0.25">
      <c r="A65" s="264" t="s">
        <v>64</v>
      </c>
      <c r="B65" s="217"/>
      <c r="C65" s="218"/>
      <c r="D65" s="49">
        <v>15</v>
      </c>
      <c r="E65" s="50"/>
    </row>
    <row r="66" spans="1:5" x14ac:dyDescent="0.25">
      <c r="A66" s="264" t="s">
        <v>65</v>
      </c>
      <c r="B66" s="217"/>
      <c r="C66" s="218"/>
      <c r="D66" s="49">
        <f>D8+D9+D10+D11+D16+D17+D18+D24+D25+D26+D27+D28+D33+D34+D35+D36+D37</f>
        <v>48</v>
      </c>
      <c r="E66" s="51"/>
    </row>
    <row r="67" spans="1:5" x14ac:dyDescent="0.25">
      <c r="A67" s="265" t="s">
        <v>63</v>
      </c>
      <c r="B67" s="266"/>
      <c r="C67" s="267"/>
      <c r="D67" s="52">
        <f>SUM(D65:D66)</f>
        <v>63</v>
      </c>
      <c r="E67" s="53"/>
    </row>
  </sheetData>
  <mergeCells count="17">
    <mergeCell ref="A24:A30"/>
    <mergeCell ref="A8:A13"/>
    <mergeCell ref="A1:E1"/>
    <mergeCell ref="A7:E7"/>
    <mergeCell ref="A4:E4"/>
    <mergeCell ref="A15:E15"/>
    <mergeCell ref="A23:E23"/>
    <mergeCell ref="A16:A21"/>
    <mergeCell ref="A65:C65"/>
    <mergeCell ref="A66:C66"/>
    <mergeCell ref="A67:C67"/>
    <mergeCell ref="A32:E32"/>
    <mergeCell ref="A64:E64"/>
    <mergeCell ref="A33:A39"/>
    <mergeCell ref="A41:E41"/>
    <mergeCell ref="A42:A46"/>
    <mergeCell ref="A47:A5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0"/>
  <sheetViews>
    <sheetView zoomScaleNormal="100" workbookViewId="0">
      <pane ySplit="2" topLeftCell="A3" activePane="bottomLeft" state="frozen"/>
      <selection activeCell="B1" sqref="B1"/>
      <selection pane="bottomLeft" activeCell="E57" sqref="A1:E57"/>
    </sheetView>
  </sheetViews>
  <sheetFormatPr baseColWidth="10" defaultRowHeight="15" x14ac:dyDescent="0.25"/>
  <cols>
    <col min="1" max="1" width="9.7109375" customWidth="1"/>
    <col min="2" max="2" width="26.5703125" customWidth="1"/>
    <col min="3" max="3" width="27" bestFit="1" customWidth="1"/>
    <col min="4" max="4" width="12.7109375" customWidth="1"/>
    <col min="5" max="5" width="13.5703125" customWidth="1"/>
    <col min="6" max="46" width="4.28515625" customWidth="1"/>
    <col min="47" max="50" width="7" customWidth="1"/>
  </cols>
  <sheetData>
    <row r="1" spans="1:46" ht="19.5" thickBot="1" x14ac:dyDescent="0.35">
      <c r="A1" s="209" t="s">
        <v>258</v>
      </c>
      <c r="B1" s="209"/>
      <c r="C1" s="209"/>
      <c r="D1" s="209"/>
      <c r="E1" s="209"/>
    </row>
    <row r="2" spans="1:46" ht="4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</row>
    <row r="3" spans="1:46" x14ac:dyDescent="0.25">
      <c r="A3" s="3"/>
      <c r="B3" s="3"/>
      <c r="C3" s="3"/>
      <c r="D3" s="3"/>
      <c r="E3" s="3"/>
    </row>
    <row r="4" spans="1:46" x14ac:dyDescent="0.25">
      <c r="A4" s="251" t="s">
        <v>5</v>
      </c>
      <c r="B4" s="232"/>
      <c r="C4" s="4"/>
      <c r="D4" s="4"/>
      <c r="E4" s="4"/>
    </row>
    <row r="5" spans="1:46" x14ac:dyDescent="0.25">
      <c r="A5" s="252" t="s">
        <v>6</v>
      </c>
      <c r="B5" s="5" t="s">
        <v>7</v>
      </c>
      <c r="C5" s="6">
        <v>0.8</v>
      </c>
      <c r="D5" s="80">
        <v>100</v>
      </c>
      <c r="E5" s="13">
        <f>+C5*D5</f>
        <v>80</v>
      </c>
    </row>
    <row r="6" spans="1:46" x14ac:dyDescent="0.25">
      <c r="A6" s="254"/>
      <c r="B6" s="5" t="s">
        <v>9</v>
      </c>
      <c r="C6" s="6">
        <v>4</v>
      </c>
      <c r="D6" s="64">
        <v>2</v>
      </c>
      <c r="E6" s="13">
        <f>+C6*D6</f>
        <v>8</v>
      </c>
    </row>
    <row r="7" spans="1:46" ht="15.75" thickBot="1" x14ac:dyDescent="0.3">
      <c r="A7" s="7"/>
      <c r="B7" s="8"/>
      <c r="C7" s="9"/>
      <c r="D7" s="9"/>
      <c r="E7" s="10">
        <f>SUM(E5:E6)</f>
        <v>88</v>
      </c>
    </row>
    <row r="8" spans="1:46" x14ac:dyDescent="0.25">
      <c r="A8" s="255" t="s">
        <v>10</v>
      </c>
      <c r="B8" s="228"/>
      <c r="C8" s="11"/>
      <c r="D8" s="11"/>
      <c r="E8" s="12"/>
    </row>
    <row r="9" spans="1:46" x14ac:dyDescent="0.25">
      <c r="A9" s="252" t="s">
        <v>11</v>
      </c>
      <c r="B9" s="14" t="s">
        <v>12</v>
      </c>
      <c r="C9" s="6">
        <v>1</v>
      </c>
      <c r="D9" s="147">
        <v>250</v>
      </c>
      <c r="E9" s="13">
        <f>+C9*D9</f>
        <v>250</v>
      </c>
    </row>
    <row r="10" spans="1:46" x14ac:dyDescent="0.25">
      <c r="A10" s="253"/>
      <c r="B10" s="14" t="s">
        <v>236</v>
      </c>
      <c r="C10" s="13">
        <v>4</v>
      </c>
      <c r="D10" s="13">
        <v>6</v>
      </c>
      <c r="E10" s="13">
        <f>+C10*D10</f>
        <v>24</v>
      </c>
      <c r="F10" s="93"/>
    </row>
    <row r="11" spans="1:46" x14ac:dyDescent="0.25">
      <c r="A11" s="253"/>
      <c r="B11" s="14" t="s">
        <v>235</v>
      </c>
      <c r="C11" s="13">
        <v>1.5</v>
      </c>
      <c r="D11" s="13">
        <v>16</v>
      </c>
      <c r="E11" s="13">
        <f>+C11*D11</f>
        <v>24</v>
      </c>
      <c r="F11" s="93"/>
    </row>
    <row r="12" spans="1:46" x14ac:dyDescent="0.25">
      <c r="A12" s="253"/>
      <c r="B12" s="14" t="s">
        <v>234</v>
      </c>
      <c r="C12" s="13">
        <v>4</v>
      </c>
      <c r="D12" s="13">
        <v>2</v>
      </c>
      <c r="E12" s="13">
        <f>+C12*D12</f>
        <v>8</v>
      </c>
      <c r="F12" s="93"/>
    </row>
    <row r="13" spans="1:46" x14ac:dyDescent="0.25">
      <c r="A13" s="253"/>
      <c r="B13" s="14" t="s">
        <v>237</v>
      </c>
      <c r="C13" s="13"/>
      <c r="D13" s="13"/>
      <c r="E13" s="13">
        <v>12</v>
      </c>
      <c r="F13" s="93"/>
    </row>
    <row r="14" spans="1:46" x14ac:dyDescent="0.25">
      <c r="A14" s="253"/>
      <c r="B14" s="14" t="s">
        <v>238</v>
      </c>
      <c r="C14" s="13"/>
      <c r="D14" s="13"/>
      <c r="E14" s="13">
        <v>7</v>
      </c>
      <c r="F14" s="90"/>
    </row>
    <row r="15" spans="1:46" x14ac:dyDescent="0.25">
      <c r="A15" s="253"/>
      <c r="B15" s="14" t="s">
        <v>239</v>
      </c>
      <c r="C15" s="13">
        <v>3</v>
      </c>
      <c r="D15" s="80">
        <v>33</v>
      </c>
      <c r="E15" s="13">
        <f>+C15*D15</f>
        <v>99</v>
      </c>
    </row>
    <row r="16" spans="1:46" x14ac:dyDescent="0.25">
      <c r="A16" s="253"/>
      <c r="B16" s="14" t="s">
        <v>240</v>
      </c>
      <c r="C16" s="13"/>
      <c r="D16" s="13"/>
      <c r="E16" s="13">
        <v>7</v>
      </c>
    </row>
    <row r="17" spans="1:5" x14ac:dyDescent="0.25">
      <c r="A17" s="253"/>
      <c r="B17" s="14" t="s">
        <v>241</v>
      </c>
      <c r="C17" s="13">
        <v>3</v>
      </c>
      <c r="D17" s="80">
        <v>10</v>
      </c>
      <c r="E17" s="13">
        <f>+C17*D17</f>
        <v>30</v>
      </c>
    </row>
    <row r="18" spans="1:5" x14ac:dyDescent="0.25">
      <c r="A18" s="253"/>
      <c r="B18" s="14" t="s">
        <v>242</v>
      </c>
      <c r="C18" s="13"/>
      <c r="D18" s="13"/>
      <c r="E18" s="13">
        <v>7</v>
      </c>
    </row>
    <row r="19" spans="1:5" x14ac:dyDescent="0.25">
      <c r="A19" s="253"/>
      <c r="B19" s="14" t="s">
        <v>243</v>
      </c>
      <c r="C19" s="6">
        <v>1.5</v>
      </c>
      <c r="D19" s="80">
        <v>20</v>
      </c>
      <c r="E19" s="13">
        <f>+C19*D19</f>
        <v>30</v>
      </c>
    </row>
    <row r="20" spans="1:5" x14ac:dyDescent="0.25">
      <c r="A20" s="253"/>
      <c r="B20" s="14" t="s">
        <v>244</v>
      </c>
      <c r="C20" s="6">
        <v>1.5</v>
      </c>
      <c r="D20" s="80">
        <v>20</v>
      </c>
      <c r="E20" s="13">
        <f>+C20*D20</f>
        <v>30</v>
      </c>
    </row>
    <row r="21" spans="1:5" x14ac:dyDescent="0.25">
      <c r="A21" s="253"/>
      <c r="B21" s="14" t="s">
        <v>245</v>
      </c>
      <c r="C21" s="6"/>
      <c r="D21" s="80"/>
      <c r="E21" s="13">
        <v>12</v>
      </c>
    </row>
    <row r="22" spans="1:5" x14ac:dyDescent="0.25">
      <c r="A22" s="253"/>
      <c r="B22" s="14" t="s">
        <v>246</v>
      </c>
      <c r="C22" s="6">
        <v>1</v>
      </c>
      <c r="D22" s="80">
        <v>40</v>
      </c>
      <c r="E22" s="112">
        <f>+C22*D22</f>
        <v>40</v>
      </c>
    </row>
    <row r="23" spans="1:5" x14ac:dyDescent="0.25">
      <c r="A23" s="253"/>
      <c r="B23" s="14" t="s">
        <v>247</v>
      </c>
      <c r="C23" s="13">
        <v>2</v>
      </c>
      <c r="D23" s="13">
        <v>6</v>
      </c>
      <c r="E23" s="13">
        <f>+C23*D23</f>
        <v>12</v>
      </c>
    </row>
    <row r="24" spans="1:5" x14ac:dyDescent="0.25">
      <c r="A24" s="57"/>
      <c r="B24" s="14" t="s">
        <v>248</v>
      </c>
      <c r="C24" s="13">
        <v>1.5</v>
      </c>
      <c r="D24" s="80">
        <v>4</v>
      </c>
      <c r="E24" s="112">
        <f>+C24*D24</f>
        <v>6</v>
      </c>
    </row>
    <row r="25" spans="1:5" x14ac:dyDescent="0.25">
      <c r="A25" s="57"/>
      <c r="B25" s="14" t="s">
        <v>249</v>
      </c>
      <c r="C25" s="13">
        <v>1.5</v>
      </c>
      <c r="D25" s="80">
        <v>6</v>
      </c>
      <c r="E25" s="112">
        <f>+C25*D25</f>
        <v>9</v>
      </c>
    </row>
    <row r="26" spans="1:5" ht="15.75" thickBot="1" x14ac:dyDescent="0.3">
      <c r="A26" s="15"/>
      <c r="B26" s="16"/>
      <c r="C26" s="17"/>
      <c r="D26" s="17"/>
      <c r="E26" s="18">
        <f>SUM(E9:E25)</f>
        <v>607</v>
      </c>
    </row>
    <row r="27" spans="1:5" x14ac:dyDescent="0.25">
      <c r="A27" s="255" t="s">
        <v>131</v>
      </c>
      <c r="B27" s="228"/>
      <c r="C27" s="12"/>
      <c r="D27" s="12"/>
      <c r="E27" s="12"/>
    </row>
    <row r="28" spans="1:5" x14ac:dyDescent="0.25">
      <c r="A28" s="272" t="s">
        <v>255</v>
      </c>
      <c r="B28" s="5" t="s">
        <v>51</v>
      </c>
      <c r="C28" s="6">
        <v>1.5</v>
      </c>
      <c r="D28" s="64">
        <v>37</v>
      </c>
      <c r="E28" s="13">
        <f>D28*C28</f>
        <v>55.5</v>
      </c>
    </row>
    <row r="29" spans="1:5" ht="25.5" x14ac:dyDescent="0.25">
      <c r="A29" s="273"/>
      <c r="B29" s="14" t="s">
        <v>52</v>
      </c>
      <c r="C29" s="13"/>
      <c r="D29" s="13"/>
      <c r="E29" s="13">
        <v>10</v>
      </c>
    </row>
    <row r="30" spans="1:5" x14ac:dyDescent="0.25">
      <c r="A30" s="273"/>
      <c r="B30" s="14" t="s">
        <v>53</v>
      </c>
      <c r="C30" s="13"/>
      <c r="D30" s="13"/>
      <c r="E30" s="65">
        <v>8</v>
      </c>
    </row>
    <row r="31" spans="1:5" x14ac:dyDescent="0.25">
      <c r="A31" s="273"/>
      <c r="B31" s="14" t="s">
        <v>54</v>
      </c>
      <c r="C31" s="13">
        <v>6</v>
      </c>
      <c r="D31" s="80">
        <v>1</v>
      </c>
      <c r="E31" s="13">
        <f t="shared" ref="E31:E36" si="0">D31*C31</f>
        <v>6</v>
      </c>
    </row>
    <row r="32" spans="1:5" x14ac:dyDescent="0.25">
      <c r="A32" s="273"/>
      <c r="B32" s="14" t="s">
        <v>173</v>
      </c>
      <c r="C32" s="13">
        <v>4</v>
      </c>
      <c r="D32" s="80">
        <v>3</v>
      </c>
      <c r="E32" s="13">
        <f t="shared" si="0"/>
        <v>12</v>
      </c>
    </row>
    <row r="33" spans="1:5" x14ac:dyDescent="0.25">
      <c r="A33" s="273"/>
      <c r="B33" s="14" t="s">
        <v>175</v>
      </c>
      <c r="C33" s="13">
        <v>4</v>
      </c>
      <c r="D33" s="80">
        <v>3</v>
      </c>
      <c r="E33" s="13">
        <f t="shared" si="0"/>
        <v>12</v>
      </c>
    </row>
    <row r="34" spans="1:5" x14ac:dyDescent="0.25">
      <c r="A34" s="273"/>
      <c r="B34" s="108" t="s">
        <v>174</v>
      </c>
      <c r="C34" s="79">
        <v>2</v>
      </c>
      <c r="D34" s="79">
        <v>1</v>
      </c>
      <c r="E34" s="13">
        <f t="shared" si="0"/>
        <v>2</v>
      </c>
    </row>
    <row r="35" spans="1:5" ht="25.5" x14ac:dyDescent="0.25">
      <c r="A35" s="273"/>
      <c r="B35" s="106" t="s">
        <v>250</v>
      </c>
      <c r="C35" s="107">
        <v>1.5</v>
      </c>
      <c r="D35" s="107">
        <v>4</v>
      </c>
      <c r="E35" s="123">
        <f t="shared" si="0"/>
        <v>6</v>
      </c>
    </row>
    <row r="36" spans="1:5" ht="25.5" x14ac:dyDescent="0.25">
      <c r="A36" s="273"/>
      <c r="B36" s="106" t="s">
        <v>251</v>
      </c>
      <c r="C36" s="65">
        <v>4</v>
      </c>
      <c r="D36" s="65">
        <v>2</v>
      </c>
      <c r="E36" s="65">
        <f t="shared" si="0"/>
        <v>8</v>
      </c>
    </row>
    <row r="37" spans="1:5" x14ac:dyDescent="0.25">
      <c r="A37" s="273"/>
      <c r="B37" s="106" t="s">
        <v>252</v>
      </c>
      <c r="C37" s="65"/>
      <c r="D37" s="65"/>
      <c r="E37" s="65">
        <v>4</v>
      </c>
    </row>
    <row r="38" spans="1:5" ht="38.25" x14ac:dyDescent="0.25">
      <c r="A38" s="273" t="s">
        <v>256</v>
      </c>
      <c r="B38" s="14" t="s">
        <v>253</v>
      </c>
      <c r="C38" s="13"/>
      <c r="D38" s="13"/>
      <c r="E38" s="13">
        <v>45</v>
      </c>
    </row>
    <row r="39" spans="1:5" x14ac:dyDescent="0.25">
      <c r="A39" s="274"/>
      <c r="B39" s="5" t="s">
        <v>254</v>
      </c>
      <c r="C39" s="6">
        <v>0.01</v>
      </c>
      <c r="D39" s="6">
        <f>'1. BR'!E73+'2. AR'!E54+'3. DR'!E47+'4. Oficinas'!E63+E49</f>
        <v>1003.5</v>
      </c>
      <c r="E39" s="109">
        <f>D39*C39</f>
        <v>10.035</v>
      </c>
    </row>
    <row r="40" spans="1:5" ht="15.75" thickBot="1" x14ac:dyDescent="0.3">
      <c r="A40" s="15"/>
      <c r="B40" s="24"/>
      <c r="C40" s="25"/>
      <c r="D40" s="25">
        <f>SUM(D4:D39)</f>
        <v>1569.5</v>
      </c>
      <c r="E40" s="26">
        <f>SUM(E28:E39)</f>
        <v>178.535</v>
      </c>
    </row>
    <row r="41" spans="1:5" x14ac:dyDescent="0.25">
      <c r="A41" s="27"/>
      <c r="B41" s="27"/>
      <c r="C41" s="27"/>
      <c r="D41" s="27"/>
      <c r="E41" s="27"/>
    </row>
    <row r="42" spans="1:5" x14ac:dyDescent="0.25">
      <c r="A42" s="28"/>
      <c r="B42" s="28" t="s">
        <v>5</v>
      </c>
      <c r="C42" s="29"/>
      <c r="D42" s="29"/>
      <c r="E42" s="30">
        <f>+E7</f>
        <v>88</v>
      </c>
    </row>
    <row r="43" spans="1:5" x14ac:dyDescent="0.25">
      <c r="A43" s="28"/>
      <c r="B43" s="28" t="s">
        <v>10</v>
      </c>
      <c r="C43" s="29"/>
      <c r="D43" s="29"/>
      <c r="E43" s="31">
        <f>+E26</f>
        <v>607</v>
      </c>
    </row>
    <row r="44" spans="1:5" x14ac:dyDescent="0.25">
      <c r="A44" s="8"/>
      <c r="B44" s="8" t="s">
        <v>50</v>
      </c>
      <c r="C44" s="32"/>
      <c r="D44" s="32"/>
      <c r="E44" s="33">
        <f>+E40</f>
        <v>178.535</v>
      </c>
    </row>
    <row r="45" spans="1:5" x14ac:dyDescent="0.25">
      <c r="A45" s="34" t="s">
        <v>56</v>
      </c>
      <c r="B45" s="35"/>
      <c r="C45" s="36"/>
      <c r="D45" s="36"/>
      <c r="E45" s="37">
        <f>SUM(E42:E44)</f>
        <v>873.53499999999997</v>
      </c>
    </row>
    <row r="46" spans="1:5" ht="38.25" x14ac:dyDescent="0.25">
      <c r="A46" s="34" t="s">
        <v>57</v>
      </c>
      <c r="B46" s="34" t="s">
        <v>58</v>
      </c>
      <c r="C46" s="38">
        <v>0.35</v>
      </c>
      <c r="D46" s="36"/>
      <c r="E46" s="37">
        <f>0.35*E45</f>
        <v>305.73724999999996</v>
      </c>
    </row>
    <row r="47" spans="1:5" ht="15.75" thickBot="1" x14ac:dyDescent="0.3">
      <c r="A47" s="27"/>
      <c r="B47" s="27"/>
      <c r="C47" s="27"/>
      <c r="D47" s="27"/>
      <c r="E47" s="27"/>
    </row>
    <row r="48" spans="1:5" ht="32.25" thickBot="1" x14ac:dyDescent="0.3">
      <c r="A48" s="39" t="s">
        <v>59</v>
      </c>
      <c r="B48" s="40"/>
      <c r="C48" s="41"/>
      <c r="D48" s="41"/>
      <c r="E48" s="42">
        <f>+E45+E46</f>
        <v>1179.27225</v>
      </c>
    </row>
    <row r="49" spans="1:7" ht="15.75" thickBot="1" x14ac:dyDescent="0.3">
      <c r="A49" s="27" t="s">
        <v>160</v>
      </c>
      <c r="B49" s="27"/>
      <c r="C49" s="27"/>
      <c r="D49" s="27"/>
      <c r="E49" s="27">
        <f>E6+E14+E32</f>
        <v>27</v>
      </c>
    </row>
    <row r="50" spans="1:7" x14ac:dyDescent="0.25">
      <c r="A50" s="255" t="s">
        <v>60</v>
      </c>
      <c r="B50" s="228"/>
      <c r="C50" s="281"/>
      <c r="D50" s="228"/>
      <c r="E50" s="165"/>
    </row>
    <row r="51" spans="1:7" ht="51" x14ac:dyDescent="0.25">
      <c r="A51" s="272" t="s">
        <v>61</v>
      </c>
      <c r="B51" s="14" t="s">
        <v>208</v>
      </c>
      <c r="C51" s="43">
        <f>2.5*7.5</f>
        <v>18.75</v>
      </c>
      <c r="D51" s="43">
        <v>38</v>
      </c>
      <c r="E51" s="62">
        <f>D51*C51 +(2*3.5*10)</f>
        <v>782.5</v>
      </c>
    </row>
    <row r="52" spans="1:7" ht="15.75" thickBot="1" x14ac:dyDescent="0.3">
      <c r="A52" s="282"/>
      <c r="B52" s="44" t="s">
        <v>62</v>
      </c>
      <c r="C52" s="45">
        <v>0.75</v>
      </c>
      <c r="D52" s="45">
        <v>30</v>
      </c>
      <c r="E52" s="62">
        <f>D52*C52</f>
        <v>22.5</v>
      </c>
    </row>
    <row r="53" spans="1:7" x14ac:dyDescent="0.25">
      <c r="A53" s="46"/>
      <c r="B53" s="47"/>
      <c r="C53" s="48"/>
      <c r="D53" s="48"/>
      <c r="E53" s="48"/>
    </row>
    <row r="54" spans="1:7" x14ac:dyDescent="0.25">
      <c r="A54" s="270" t="s">
        <v>63</v>
      </c>
      <c r="B54" s="271"/>
      <c r="C54" s="271"/>
      <c r="D54" s="271"/>
      <c r="E54" s="271"/>
    </row>
    <row r="55" spans="1:7" x14ac:dyDescent="0.25">
      <c r="A55" s="264" t="s">
        <v>64</v>
      </c>
      <c r="B55" s="217"/>
      <c r="C55" s="218"/>
      <c r="D55" s="88">
        <f>D33+D32+D31+D25+D24+D22+D20+D19+D17+D15+D9+D5</f>
        <v>490</v>
      </c>
      <c r="E55" s="50"/>
    </row>
    <row r="56" spans="1:7" x14ac:dyDescent="0.25">
      <c r="A56" s="264" t="s">
        <v>65</v>
      </c>
      <c r="B56" s="217"/>
      <c r="C56" s="218"/>
      <c r="D56" s="69">
        <f>D6+D13+D33</f>
        <v>5</v>
      </c>
      <c r="E56" s="51"/>
    </row>
    <row r="57" spans="1:7" x14ac:dyDescent="0.25">
      <c r="A57" s="265" t="s">
        <v>63</v>
      </c>
      <c r="B57" s="266"/>
      <c r="C57" s="267"/>
      <c r="D57" s="52">
        <v>741</v>
      </c>
      <c r="E57" s="53"/>
    </row>
    <row r="58" spans="1:7" ht="46.5" x14ac:dyDescent="0.7">
      <c r="G58" s="117"/>
    </row>
    <row r="60" spans="1:7" x14ac:dyDescent="0.25">
      <c r="A60" s="54"/>
      <c r="B60" s="55"/>
      <c r="C60" s="55"/>
      <c r="D60" s="56"/>
    </row>
    <row r="61" spans="1:7" x14ac:dyDescent="0.25">
      <c r="A61" s="54"/>
      <c r="B61" s="55"/>
      <c r="C61" s="55"/>
      <c r="D61" s="56"/>
    </row>
    <row r="62" spans="1:7" x14ac:dyDescent="0.25">
      <c r="A62" s="54"/>
      <c r="B62" s="55"/>
      <c r="C62" s="55"/>
      <c r="D62" s="56"/>
    </row>
    <row r="66" spans="2:5" x14ac:dyDescent="0.25">
      <c r="B66" s="91"/>
      <c r="C66" s="92"/>
      <c r="D66" s="92"/>
      <c r="E66" s="92"/>
    </row>
    <row r="67" spans="2:5" x14ac:dyDescent="0.25">
      <c r="B67" s="99"/>
    </row>
    <row r="68" spans="2:5" x14ac:dyDescent="0.25">
      <c r="B68" s="99"/>
    </row>
    <row r="69" spans="2:5" x14ac:dyDescent="0.25">
      <c r="B69" s="99"/>
    </row>
    <row r="70" spans="2:5" x14ac:dyDescent="0.25">
      <c r="B70" s="99"/>
    </row>
  </sheetData>
  <mergeCells count="14">
    <mergeCell ref="A57:C57"/>
    <mergeCell ref="A50:B50"/>
    <mergeCell ref="C50:D50"/>
    <mergeCell ref="A51:A52"/>
    <mergeCell ref="A54:E54"/>
    <mergeCell ref="A55:C55"/>
    <mergeCell ref="A56:C56"/>
    <mergeCell ref="A4:B4"/>
    <mergeCell ref="A38:A39"/>
    <mergeCell ref="A28:A37"/>
    <mergeCell ref="A27:B27"/>
    <mergeCell ref="A5:A6"/>
    <mergeCell ref="A8:B8"/>
    <mergeCell ref="A9:A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tabSelected="1" topLeftCell="G1" zoomScaleNormal="100" workbookViewId="0">
      <selection activeCell="Q3" sqref="Q3"/>
    </sheetView>
  </sheetViews>
  <sheetFormatPr baseColWidth="10" defaultRowHeight="15" x14ac:dyDescent="0.25"/>
  <cols>
    <col min="1" max="1" width="0.85546875" customWidth="1"/>
    <col min="3" max="3" width="9.85546875" customWidth="1"/>
    <col min="4" max="4" width="9" customWidth="1"/>
    <col min="5" max="5" width="9.85546875" customWidth="1"/>
    <col min="6" max="6" width="9.7109375" customWidth="1"/>
    <col min="7" max="7" width="15.5703125" customWidth="1"/>
    <col min="8" max="8" width="12.42578125" customWidth="1"/>
    <col min="9" max="9" width="8.42578125" customWidth="1"/>
    <col min="10" max="10" width="13.140625" customWidth="1"/>
  </cols>
  <sheetData>
    <row r="2" spans="1:22" ht="15.75" x14ac:dyDescent="0.25">
      <c r="B2" s="214" t="s">
        <v>132</v>
      </c>
      <c r="C2" s="214"/>
      <c r="D2" s="214"/>
      <c r="E2" s="214"/>
      <c r="F2" s="214"/>
      <c r="G2" s="214"/>
      <c r="H2" s="214"/>
      <c r="I2" s="214"/>
      <c r="J2" s="214"/>
      <c r="R2" s="284" t="s">
        <v>201</v>
      </c>
      <c r="S2" s="284"/>
      <c r="T2" s="284"/>
      <c r="U2" s="284"/>
    </row>
    <row r="3" spans="1:22" ht="60" x14ac:dyDescent="0.25">
      <c r="B3" s="74" t="s">
        <v>134</v>
      </c>
      <c r="C3" s="74" t="s">
        <v>133</v>
      </c>
      <c r="D3" s="81" t="s">
        <v>188</v>
      </c>
      <c r="E3" s="81" t="s">
        <v>189</v>
      </c>
      <c r="F3" s="81" t="s">
        <v>199</v>
      </c>
      <c r="G3" s="81" t="s">
        <v>172</v>
      </c>
      <c r="H3" s="74" t="s">
        <v>211</v>
      </c>
      <c r="I3" s="74" t="s">
        <v>162</v>
      </c>
      <c r="J3" s="115" t="s">
        <v>257</v>
      </c>
      <c r="K3" s="75"/>
      <c r="L3" s="149"/>
      <c r="R3" s="81" t="s">
        <v>133</v>
      </c>
      <c r="S3" s="81" t="s">
        <v>188</v>
      </c>
      <c r="T3" s="81" t="s">
        <v>189</v>
      </c>
      <c r="U3" s="81" t="s">
        <v>199</v>
      </c>
    </row>
    <row r="4" spans="1:22" x14ac:dyDescent="0.25">
      <c r="A4" s="113"/>
      <c r="B4" s="215" t="s">
        <v>135</v>
      </c>
      <c r="C4" s="78">
        <f>'1. BR'!E69</f>
        <v>2056.2399999999998</v>
      </c>
      <c r="D4" s="78">
        <f>'1. BR'!E44-'1. BR'!E41+'1. BR'!E8</f>
        <v>1572.5</v>
      </c>
      <c r="E4" s="78">
        <f>'1. BR'!E41+'1. BR'!E61</f>
        <v>99.84</v>
      </c>
      <c r="F4" s="78">
        <f>'1. BR'!E64-'1. BR'!E61-'1. BR'!E62-'1. BR'!E63-'1. BR'!E58</f>
        <v>201</v>
      </c>
      <c r="G4" s="78">
        <f>'1. BR'!E73</f>
        <v>273</v>
      </c>
      <c r="H4" s="78">
        <f>C4*0.35</f>
        <v>719.68399999999986</v>
      </c>
      <c r="I4" s="78">
        <f>H4+C4</f>
        <v>2775.9239999999995</v>
      </c>
      <c r="J4" s="211">
        <f>+I4/$I$9</f>
        <v>0.33401205454352001</v>
      </c>
      <c r="L4" s="150"/>
      <c r="M4" s="148"/>
      <c r="Q4" s="215" t="s">
        <v>135</v>
      </c>
      <c r="R4" s="84">
        <f t="shared" ref="R4:R9" si="0">C4/$C$9*100</f>
        <v>33.401205454352009</v>
      </c>
      <c r="S4" s="84">
        <f t="shared" ref="S4:U9" si="1">D4/D$9*100</f>
        <v>62.993229980370948</v>
      </c>
      <c r="T4" s="84">
        <f t="shared" si="1"/>
        <v>4.4854976098910972</v>
      </c>
      <c r="U4" s="84">
        <f t="shared" si="1"/>
        <v>22.450575226181169</v>
      </c>
    </row>
    <row r="5" spans="1:22" x14ac:dyDescent="0.25">
      <c r="A5" s="113"/>
      <c r="B5" s="215" t="s">
        <v>95</v>
      </c>
      <c r="C5" s="78">
        <f>'2. AR'!E50</f>
        <v>1249.6299999999999</v>
      </c>
      <c r="D5" s="78">
        <f>'2. AR'!E8+'2. AR'!E18</f>
        <v>174.8</v>
      </c>
      <c r="E5" s="78">
        <f>'2. AR'!E37+'2. AR'!E38+'2. AR'!E39+'2. AR'!E40+'2. AR'!E41+'2. AR'!E42</f>
        <v>876</v>
      </c>
      <c r="F5" s="78">
        <f>'2. AR'!E29-'2. AR'!E28-'2. AR'!E27-'2. AR'!E26-'2. AR'!E25-'2. AR'!E24+'2. AR'!E31+'2. AR'!E32+'2. AR'!E33+'2. AR'!E34</f>
        <v>139</v>
      </c>
      <c r="G5" s="78">
        <f>'2. AR'!E54</f>
        <v>183</v>
      </c>
      <c r="H5" s="78">
        <f t="shared" ref="H5:H10" si="2">C5*0.35</f>
        <v>437.37049999999994</v>
      </c>
      <c r="I5" s="78">
        <f>H5+C5</f>
        <v>1687.0004999999999</v>
      </c>
      <c r="J5" s="211">
        <f>+I5/$I$9</f>
        <v>0.20298772697701581</v>
      </c>
      <c r="L5" s="150"/>
      <c r="M5" s="148"/>
      <c r="Q5" s="215" t="s">
        <v>95</v>
      </c>
      <c r="R5" s="84">
        <f t="shared" si="0"/>
        <v>20.29877269770158</v>
      </c>
      <c r="S5" s="84">
        <f t="shared" si="1"/>
        <v>7.0023634979770062</v>
      </c>
      <c r="T5" s="84">
        <f t="shared" si="1"/>
        <v>39.355928548323327</v>
      </c>
      <c r="U5" s="84">
        <f t="shared" si="1"/>
        <v>15.525522171339217</v>
      </c>
    </row>
    <row r="6" spans="1:22" x14ac:dyDescent="0.25">
      <c r="B6" s="215" t="s">
        <v>96</v>
      </c>
      <c r="C6" s="78">
        <f>'3. DR'!E43</f>
        <v>1437.5</v>
      </c>
      <c r="D6" s="78">
        <f>'3. DR'!E6+'3. DR'!E27+'3. DR'!E28</f>
        <v>68</v>
      </c>
      <c r="E6" s="78">
        <f>'3. DR'!E25+'3. DR'!E26+'3. DR'!E19+'3. DR'!E20+'3. DR'!E21+'3. DR'!E22+'3. DR'!E23+'3. DR'!E24</f>
        <v>1250</v>
      </c>
      <c r="F6" s="78">
        <f>'3. DR'!E9+'3. DR'!E11+'3. DR'!E10+'3. DR'!E12+'3. DR'!E13</f>
        <v>68.5</v>
      </c>
      <c r="G6" s="78">
        <f>'3. DR'!E47</f>
        <v>156.5</v>
      </c>
      <c r="H6" s="78">
        <f t="shared" si="2"/>
        <v>503.12499999999994</v>
      </c>
      <c r="I6" s="78">
        <f>H6+C6</f>
        <v>1940.625</v>
      </c>
      <c r="J6" s="211">
        <f>+I6/$I$9</f>
        <v>0.23350500350460554</v>
      </c>
      <c r="L6" s="150"/>
      <c r="M6" s="148"/>
      <c r="Q6" s="215" t="s">
        <v>96</v>
      </c>
      <c r="R6" s="84">
        <f t="shared" si="0"/>
        <v>23.350500350460553</v>
      </c>
      <c r="S6" s="84">
        <f t="shared" si="1"/>
        <v>2.7240315667187436</v>
      </c>
      <c r="T6" s="84">
        <f t="shared" si="1"/>
        <v>56.158573841785561</v>
      </c>
      <c r="U6" s="84">
        <f t="shared" si="1"/>
        <v>7.6510666815592545</v>
      </c>
    </row>
    <row r="7" spans="1:22" x14ac:dyDescent="0.25">
      <c r="B7" s="215" t="s">
        <v>136</v>
      </c>
      <c r="C7" s="78">
        <f>'4. Oficinas'!E59</f>
        <v>539.28</v>
      </c>
      <c r="D7" s="78">
        <f>'4. Oficinas'!E5</f>
        <v>12</v>
      </c>
      <c r="E7" s="78">
        <v>0</v>
      </c>
      <c r="F7" s="78">
        <f>'4. Oficinas'!E14+'4. Oficinas'!E22+'4. Oficinas'!E31+'4. Oficinas'!E40+'4. Oficinas'!E51-'4. Oficinas'!E12-'4. Oficinas'!E13-'4. Oficinas'!E19-'4. Oficinas'!E20-'4. Oficinas'!E29-'4. Oficinas'!E30-'4. Oficinas'!E38-'4. Oficinas'!E39-'4. Oficinas'!E45-'4. Oficinas'!E46-'4. Oficinas'!E47-'4. Oficinas'!E48-'4. Oficinas'!E49</f>
        <v>449.79999999999995</v>
      </c>
      <c r="G7" s="78">
        <f>'4. Oficinas'!E63</f>
        <v>364</v>
      </c>
      <c r="H7" s="78">
        <f t="shared" si="2"/>
        <v>188.74799999999999</v>
      </c>
      <c r="I7" s="78">
        <f>H7+C7</f>
        <v>728.02800000000002</v>
      </c>
      <c r="J7" s="211">
        <f>+I7/$I$9</f>
        <v>8.759970663649648E-2</v>
      </c>
      <c r="L7" s="150"/>
      <c r="M7" s="148"/>
      <c r="Q7" s="215" t="s">
        <v>136</v>
      </c>
      <c r="R7" s="84">
        <f t="shared" si="0"/>
        <v>8.7599706636496464</v>
      </c>
      <c r="S7" s="84">
        <f t="shared" si="1"/>
        <v>0.48071145295036655</v>
      </c>
      <c r="T7" s="84">
        <f t="shared" si="1"/>
        <v>0</v>
      </c>
      <c r="U7" s="84">
        <f t="shared" si="1"/>
        <v>50.240142968837255</v>
      </c>
    </row>
    <row r="8" spans="1:22" x14ac:dyDescent="0.25">
      <c r="A8" s="110"/>
      <c r="B8" s="215" t="s">
        <v>137</v>
      </c>
      <c r="C8" s="78">
        <f>'5. Extensión y recintos comunes'!E45</f>
        <v>873.53499999999997</v>
      </c>
      <c r="D8" s="78">
        <f>'5. Extensión y recintos comunes'!E7+'5. Extensión y recintos comunes'!E26-'5. Extensión y recintos comunes'!E18-'5. Extensión y recintos comunes'!E14-'5. Extensión y recintos comunes'!E21</f>
        <v>669</v>
      </c>
      <c r="E8" s="78">
        <v>0</v>
      </c>
      <c r="F8" s="78">
        <f>'5. Extensión y recintos comunes'!E14+'5. Extensión y recintos comunes'!E32+'5. Extensión y recintos comunes'!E33+'5. Extensión y recintos comunes'!E35</f>
        <v>37</v>
      </c>
      <c r="G8" s="78">
        <f>'5. Extensión y recintos comunes'!E49</f>
        <v>27</v>
      </c>
      <c r="H8" s="78">
        <f t="shared" si="2"/>
        <v>305.73724999999996</v>
      </c>
      <c r="I8" s="78">
        <f>H8+C8</f>
        <v>1179.27225</v>
      </c>
      <c r="J8" s="211">
        <f>+I8/$I$9</f>
        <v>0.14189550833836215</v>
      </c>
      <c r="L8" s="150"/>
      <c r="M8" s="148"/>
      <c r="Q8" s="215" t="s">
        <v>137</v>
      </c>
      <c r="R8" s="84">
        <f t="shared" si="0"/>
        <v>14.189550833836215</v>
      </c>
      <c r="S8" s="84">
        <f t="shared" si="1"/>
        <v>26.799663501982934</v>
      </c>
      <c r="T8" s="84">
        <f t="shared" si="1"/>
        <v>0</v>
      </c>
      <c r="U8" s="84">
        <f t="shared" si="1"/>
        <v>4.1326929520831008</v>
      </c>
    </row>
    <row r="9" spans="1:22" x14ac:dyDescent="0.25">
      <c r="B9" s="114" t="s">
        <v>98</v>
      </c>
      <c r="C9" s="78">
        <f>SUM(C4:C8)</f>
        <v>6156.1849999999995</v>
      </c>
      <c r="D9" s="78">
        <f>SUM(D4:D8)</f>
        <v>2496.3000000000002</v>
      </c>
      <c r="E9" s="78">
        <f>SUM(E4:E8)</f>
        <v>2225.84</v>
      </c>
      <c r="F9" s="78">
        <f>SUM(F4:F8)</f>
        <v>895.3</v>
      </c>
      <c r="G9" s="78">
        <f>SUM(G4:G8)</f>
        <v>1003.5</v>
      </c>
      <c r="H9" s="78">
        <f t="shared" si="2"/>
        <v>2154.6647499999995</v>
      </c>
      <c r="I9" s="78">
        <f>SUM(I4:I8)</f>
        <v>8310.8497499999994</v>
      </c>
      <c r="J9" s="211">
        <f t="shared" ref="J9:J10" si="3">+I9/$I$9</f>
        <v>1</v>
      </c>
      <c r="L9" s="150"/>
      <c r="M9" s="148"/>
      <c r="R9" s="84">
        <f t="shared" si="0"/>
        <v>100</v>
      </c>
      <c r="S9" s="84">
        <f t="shared" si="1"/>
        <v>100</v>
      </c>
      <c r="T9" s="84">
        <f t="shared" si="1"/>
        <v>100</v>
      </c>
      <c r="U9" s="84">
        <f t="shared" si="1"/>
        <v>100</v>
      </c>
    </row>
    <row r="10" spans="1:22" ht="30" hidden="1" x14ac:dyDescent="0.25">
      <c r="B10" s="115" t="s">
        <v>197</v>
      </c>
      <c r="C10" s="84">
        <f>C9*100/$I$9</f>
        <v>74.074074074074076</v>
      </c>
      <c r="D10" s="84">
        <f>D9*100/$I$9</f>
        <v>30.036639755158618</v>
      </c>
      <c r="E10" s="84">
        <f>E9*100/$I$9</f>
        <v>26.782339555591175</v>
      </c>
      <c r="F10" s="84">
        <f>F9*100/$I$9</f>
        <v>10.772664973277854</v>
      </c>
      <c r="G10" s="84"/>
      <c r="H10" s="78">
        <f t="shared" si="2"/>
        <v>25.925925925925924</v>
      </c>
      <c r="I10" s="84"/>
      <c r="J10" s="211">
        <f t="shared" si="3"/>
        <v>0</v>
      </c>
      <c r="K10" s="151"/>
      <c r="L10" s="116"/>
      <c r="M10" s="84"/>
      <c r="N10" s="84"/>
      <c r="O10" s="84"/>
    </row>
    <row r="11" spans="1:22" ht="30" x14ac:dyDescent="0.25">
      <c r="B11" s="115" t="s">
        <v>198</v>
      </c>
      <c r="C11" s="84">
        <f>C9*100/$C$9</f>
        <v>100.00000000000001</v>
      </c>
      <c r="D11" s="84">
        <f>D9*100/$C$9</f>
        <v>40.549463669464131</v>
      </c>
      <c r="E11" s="84">
        <f>E9*100/$C$9</f>
        <v>36.156158400048085</v>
      </c>
      <c r="F11" s="84">
        <f>F9*100/$C$9</f>
        <v>14.543097713925103</v>
      </c>
      <c r="G11" s="84"/>
      <c r="H11" s="84"/>
      <c r="I11" s="84"/>
      <c r="K11" s="152"/>
    </row>
    <row r="12" spans="1:22" ht="45" x14ac:dyDescent="0.25">
      <c r="B12" s="283" t="s">
        <v>167</v>
      </c>
      <c r="C12" s="283"/>
      <c r="D12" s="283"/>
      <c r="E12" s="283"/>
      <c r="F12" s="283"/>
      <c r="G12" s="283"/>
      <c r="H12" s="283"/>
      <c r="I12" s="74">
        <f>'5. Extensión y recintos comunes'!E51+'5. Extensión y recintos comunes'!E52</f>
        <v>805</v>
      </c>
      <c r="P12" s="148"/>
      <c r="R12" s="81" t="s">
        <v>133</v>
      </c>
      <c r="S12" s="81" t="s">
        <v>188</v>
      </c>
      <c r="T12" s="81" t="s">
        <v>189</v>
      </c>
      <c r="U12" s="81" t="s">
        <v>199</v>
      </c>
    </row>
    <row r="13" spans="1:22" x14ac:dyDescent="0.25">
      <c r="I13">
        <f>I9/200</f>
        <v>41.554248749999999</v>
      </c>
      <c r="P13" s="89"/>
      <c r="Q13" s="215" t="s">
        <v>135</v>
      </c>
      <c r="R13" s="84">
        <f>C4</f>
        <v>2056.2399999999998</v>
      </c>
      <c r="S13" s="158">
        <f>+D4/$R$13</f>
        <v>0.76474536046375918</v>
      </c>
      <c r="T13" s="158">
        <f t="shared" ref="T13:U13" si="4">+E4/$R$13</f>
        <v>4.8554643426837338E-2</v>
      </c>
      <c r="U13" s="158">
        <f t="shared" si="4"/>
        <v>9.7751235264366035E-2</v>
      </c>
      <c r="V13" s="159"/>
    </row>
    <row r="14" spans="1:22" x14ac:dyDescent="0.25">
      <c r="B14" t="s">
        <v>200</v>
      </c>
      <c r="Q14" s="215" t="s">
        <v>95</v>
      </c>
      <c r="R14" s="84">
        <f t="shared" ref="R14:R17" si="5">C5</f>
        <v>1249.6299999999999</v>
      </c>
      <c r="S14" s="158">
        <f>+D5/$R$14</f>
        <v>0.13988140489584919</v>
      </c>
      <c r="T14" s="158">
        <f t="shared" ref="T14:U14" si="6">+E5/$R$14</f>
        <v>0.70100749821947306</v>
      </c>
      <c r="U14" s="158">
        <f t="shared" si="6"/>
        <v>0.11123292494578396</v>
      </c>
      <c r="V14" s="159"/>
    </row>
    <row r="15" spans="1:22" ht="30.75" customHeight="1" x14ac:dyDescent="0.25">
      <c r="J15" s="148"/>
      <c r="K15" s="86"/>
      <c r="L15" s="285"/>
      <c r="M15" s="285"/>
      <c r="N15" s="285"/>
      <c r="Q15" s="215" t="s">
        <v>96</v>
      </c>
      <c r="R15" s="84">
        <f t="shared" si="5"/>
        <v>1437.5</v>
      </c>
      <c r="S15" s="158">
        <f>+D6/$R$15</f>
        <v>4.7304347826086959E-2</v>
      </c>
      <c r="T15" s="158">
        <f t="shared" ref="T15:U15" si="7">+E6/$R$15</f>
        <v>0.86956521739130432</v>
      </c>
      <c r="U15" s="158">
        <f t="shared" si="7"/>
        <v>4.765217391304348E-2</v>
      </c>
      <c r="V15" s="159"/>
    </row>
    <row r="16" spans="1:22" x14ac:dyDescent="0.25">
      <c r="K16" s="86"/>
      <c r="L16" s="104"/>
      <c r="M16" s="104"/>
      <c r="N16" s="104"/>
      <c r="Q16" s="215" t="s">
        <v>136</v>
      </c>
      <c r="R16" s="84">
        <f t="shared" si="5"/>
        <v>539.28</v>
      </c>
      <c r="S16" s="158">
        <f>+D7/$R$16</f>
        <v>2.2251891410769917E-2</v>
      </c>
      <c r="T16" s="158">
        <f t="shared" ref="T16:U16" si="8">+E7/$R$16</f>
        <v>0</v>
      </c>
      <c r="U16" s="158">
        <f t="shared" si="8"/>
        <v>0.83407506304702561</v>
      </c>
      <c r="V16" s="159"/>
    </row>
    <row r="17" spans="11:22" x14ac:dyDescent="0.25">
      <c r="K17" s="86"/>
      <c r="L17" s="210"/>
      <c r="M17" s="210"/>
      <c r="N17" s="210"/>
      <c r="Q17" s="215" t="s">
        <v>137</v>
      </c>
      <c r="R17" s="84">
        <f t="shared" si="5"/>
        <v>873.53499999999997</v>
      </c>
      <c r="S17" s="158">
        <f>+D8/$R$17</f>
        <v>0.76585368645789809</v>
      </c>
      <c r="T17" s="158">
        <f t="shared" ref="T17:U17" si="9">+E8/$R$17</f>
        <v>0</v>
      </c>
      <c r="U17" s="158">
        <f t="shared" si="9"/>
        <v>4.235663138855341E-2</v>
      </c>
      <c r="V17" s="159"/>
    </row>
    <row r="18" spans="11:22" x14ac:dyDescent="0.25">
      <c r="K18" s="86"/>
      <c r="L18" s="210"/>
      <c r="M18" s="210"/>
      <c r="N18" s="210"/>
      <c r="R18" s="84">
        <f t="shared" ref="R18" si="10">C18/$C$9*100</f>
        <v>0</v>
      </c>
      <c r="S18" s="84">
        <f t="shared" ref="S18" si="11">D18/D$9*100</f>
        <v>0</v>
      </c>
      <c r="T18" s="84">
        <f t="shared" ref="T18" si="12">E18/E$9*100</f>
        <v>0</v>
      </c>
      <c r="U18" s="84">
        <f t="shared" ref="U18" si="13">F18/F$9*100</f>
        <v>0</v>
      </c>
    </row>
    <row r="19" spans="11:22" x14ac:dyDescent="0.25">
      <c r="K19" s="86"/>
      <c r="L19" s="210"/>
      <c r="M19" s="210"/>
      <c r="N19" s="210"/>
    </row>
    <row r="20" spans="11:22" x14ac:dyDescent="0.25">
      <c r="K20" s="86"/>
      <c r="L20" s="210"/>
      <c r="M20" s="210"/>
      <c r="N20" s="210"/>
    </row>
    <row r="21" spans="11:22" x14ac:dyDescent="0.25">
      <c r="K21" s="86"/>
      <c r="L21" s="210"/>
      <c r="M21" s="210"/>
      <c r="N21" s="210"/>
    </row>
    <row r="22" spans="11:22" x14ac:dyDescent="0.25">
      <c r="K22" s="86"/>
      <c r="L22" s="210"/>
      <c r="M22" s="210"/>
      <c r="N22" s="210"/>
    </row>
  </sheetData>
  <mergeCells count="3">
    <mergeCell ref="B12:H12"/>
    <mergeCell ref="R2:U2"/>
    <mergeCell ref="L15:N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1. BR</vt:lpstr>
      <vt:lpstr>2. AR</vt:lpstr>
      <vt:lpstr>3. DR</vt:lpstr>
      <vt:lpstr>4. Oficinas</vt:lpstr>
      <vt:lpstr>5. Extensión y recintos comunes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Eduardo Valderrama Diaz</dc:creator>
  <cp:lastModifiedBy>Usuario</cp:lastModifiedBy>
  <cp:lastPrinted>2020-03-19T21:07:59Z</cp:lastPrinted>
  <dcterms:created xsi:type="dcterms:W3CDTF">2020-03-04T19:53:49Z</dcterms:created>
  <dcterms:modified xsi:type="dcterms:W3CDTF">2021-09-12T19:50:59Z</dcterms:modified>
</cp:coreProperties>
</file>